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https://healthgov-my.sharepoint.com/personal/christopher_spasenovski_health_gov_au/Documents/Desktop/Web Team/Job Tickets/WEB4382/"/>
    </mc:Choice>
  </mc:AlternateContent>
  <xr:revisionPtr revIDLastSave="25" documentId="8_{5664AF09-4736-4CA5-96BF-0660A012A11B}" xr6:coauthVersionLast="47" xr6:coauthVersionMax="47" xr10:uidLastSave="{3C813DE8-4F88-43EB-9639-FEC3DEA60B52}"/>
  <bookViews>
    <workbookView xWindow="-110" yWindow="-110" windowWidth="19420" windowHeight="10420" xr2:uid="{35124A70-4C8D-41CF-9690-0B6248E7A271}"/>
  </bookViews>
  <sheets>
    <sheet name="Template A - Products" sheetId="1" r:id="rId1"/>
    <sheet name="Template B - Financials" sheetId="2" r:id="rId2"/>
    <sheet name="Template C - Snapshot" sheetId="3" r:id="rId3"/>
    <sheet name="Template D - Various" sheetId="4" r:id="rId4"/>
    <sheet name="Template E - Attribution" sheetId="12" r:id="rId5"/>
    <sheet name="Data Entry Key" sheetId="5" r:id="rId6"/>
    <sheet name="Validation Checks" sheetId="6" r:id="rId7"/>
  </sheets>
  <definedNames>
    <definedName name="_xlnm._FilterDatabase" localSheetId="0" hidden="1">'Template A - Products'!$A$3:$U$70</definedName>
    <definedName name="AA" localSheetId="3" hidden="1">{"'Table 7'!$B$4:$H$28"}</definedName>
    <definedName name="AA" hidden="1">{"'Table 7'!$B$4:$H$28"}</definedName>
    <definedName name="AverageAgeAll" localSheetId="3" hidden="1">{"'Table 7'!$B$4:$H$28"}</definedName>
    <definedName name="AverageAgeAll" hidden="1">{"'Table 7'!$B$4:$H$28"}</definedName>
    <definedName name="AverageAgeAllNew" localSheetId="3" hidden="1">{"'Table 7'!$B$4:$H$28"}</definedName>
    <definedName name="AverageAgeAllNew" hidden="1">{"'Table 7'!$B$4:$H$28"}</definedName>
    <definedName name="Dependants_Status">'Data Entry Key'!$D$25:$D$26</definedName>
    <definedName name="Hospital_Category">'Data Entry Key'!$D$8:$D$14</definedName>
    <definedName name="HTML_CodePage" hidden="1">1252</definedName>
    <definedName name="HTML_Control" localSheetId="3" hidden="1">{"'Table 7'!$B$4:$H$28"}</definedName>
    <definedName name="HTML_Control" hidden="1">{"'Table 7'!$B$4:$H$28"}</definedName>
    <definedName name="HTML_ControlNew" localSheetId="3" hidden="1">{"'Table 7'!$B$4:$H$28"}</definedName>
    <definedName name="HTML_ControlNew" hidden="1">{"'Table 7'!$B$4:$H$28"}</definedName>
    <definedName name="HTML_Description" hidden="1">""</definedName>
    <definedName name="HTML_Email" hidden="1">""</definedName>
    <definedName name="HTML_Header" hidden="1">"Table 7"</definedName>
    <definedName name="HTML_LastUpdate" hidden="1">"10/8/00"</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1</definedName>
    <definedName name="HTML_PathFileMac" hidden="1">"Dru's Disk:Desktop Folder:site folder 1 Aug 2000:PHIAC:phiac:stats:AgeBySex.html"</definedName>
    <definedName name="HTML_Title" hidden="1">""</definedName>
    <definedName name="Insured_Group">'Data Entry Key'!$B$2:$B$9</definedName>
    <definedName name="Insurer_Name">'Data Entry Key'!$F$2:$F$29</definedName>
    <definedName name="Pal_Workbook_GUID" hidden="1">"L55ES2NU2L1BDFFPB6K2GIPB"</definedName>
    <definedName name="prem_round">'Data Entry Key'!$D$28</definedName>
    <definedName name="prem_round_prev">'Data Entry Key'!$D$29</definedName>
    <definedName name="prem_year">'Data Entry Key'!$D$30</definedName>
    <definedName name="prem_year_end">'Data Entry Key'!$D$32</definedName>
    <definedName name="prem_year_start">'Data Entry Key'!$D$31</definedName>
    <definedName name="_xlnm.Print_Area" localSheetId="5">'Data Entry Key'!$A$1:$J$37</definedName>
    <definedName name="_xlnm.Print_Area" localSheetId="0">'Template A - Products'!$A$1:$X$70</definedName>
    <definedName name="_xlnm.Print_Area" localSheetId="1">'Template B - Financials'!$A$1:$AW$94</definedName>
    <definedName name="_xlnm.Print_Area" localSheetId="3">'Template D - Various'!$A$1:$M$51</definedName>
    <definedName name="_xlnm.Print_Area" localSheetId="6">'Validation Checks'!$A$1:$C$11</definedName>
    <definedName name="_xlnm.Print_Titles" localSheetId="5">'Data Entry Key'!$1:$1</definedName>
    <definedName name="_xlnm.Print_Titles" localSheetId="0">'Template A - Products'!$1:$1</definedName>
    <definedName name="_xlnm.Print_Titles" localSheetId="1">'Template B - Financials'!$1:$1</definedName>
    <definedName name="_xlnm.Print_Titles" localSheetId="2">'Template C - Snapshot'!$1:$1</definedName>
    <definedName name="_xlnm.Print_Titles" localSheetId="3">'Template D - Various'!$1:$1</definedName>
    <definedName name="_xlnm.Print_Titles" localSheetId="6">'Validation Checks'!$1:$1</definedName>
    <definedName name="Product_Status">'Data Entry Key'!$B$21:$B$25</definedName>
    <definedName name="RP_factor">'Template C - Snapshot'!$E$4</definedName>
    <definedName name="State">'Data Entry Key'!$B$12:$B$18</definedName>
    <definedName name="Z_9199D370_8B6E_46B5_83C4_3D6A0F009886_.wvu.FilterData" localSheetId="0" hidden="1">'Template A - Products'!$A$3:$U$70</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9" i="12" l="1"/>
  <c r="N68" i="12"/>
  <c r="Q67" i="12"/>
  <c r="N67" i="12"/>
  <c r="O65" i="12"/>
  <c r="N65" i="12"/>
  <c r="O64" i="12"/>
  <c r="N64" i="12"/>
  <c r="O63" i="12"/>
  <c r="N63" i="12"/>
  <c r="Q61" i="12"/>
  <c r="B41" i="12"/>
  <c r="Q60" i="12"/>
  <c r="P60" i="12"/>
  <c r="O60" i="12"/>
  <c r="N60" i="12"/>
  <c r="N59" i="12"/>
  <c r="N57" i="12"/>
  <c r="N56" i="12"/>
  <c r="N55" i="12"/>
  <c r="B54" i="12"/>
  <c r="N53" i="12"/>
  <c r="B53" i="12"/>
  <c r="N52" i="12"/>
  <c r="B52" i="12"/>
  <c r="Q51" i="12"/>
  <c r="N51" i="12"/>
  <c r="B51" i="12"/>
  <c r="AQ42" i="12"/>
  <c r="AP42" i="12"/>
  <c r="N42" i="12"/>
  <c r="AQ41" i="12"/>
  <c r="N41" i="12"/>
  <c r="AQ40" i="12"/>
  <c r="AO40" i="12"/>
  <c r="N40" i="12"/>
  <c r="N39" i="12"/>
  <c r="N38" i="12"/>
  <c r="B38" i="12"/>
  <c r="N37" i="12"/>
  <c r="AQ34" i="12"/>
  <c r="AN46" i="12"/>
  <c r="AP34" i="12"/>
  <c r="P51" i="12"/>
  <c r="AQ33" i="12"/>
  <c r="AP33" i="12"/>
  <c r="AQ32" i="12"/>
  <c r="AO32" i="12"/>
  <c r="AP32" i="12"/>
  <c r="AQ31" i="12"/>
  <c r="AO31" i="12"/>
  <c r="AO34" i="12"/>
  <c r="O51" i="12"/>
  <c r="AP26" i="12"/>
  <c r="AQ26" i="12"/>
  <c r="AQ25" i="12"/>
  <c r="AO24" i="12"/>
  <c r="AQ24" i="12"/>
  <c r="AN17" i="12"/>
  <c r="AN16" i="12"/>
  <c r="F16" i="12"/>
  <c r="E16" i="12"/>
  <c r="D16" i="12"/>
  <c r="C16" i="12"/>
  <c r="B16" i="12"/>
  <c r="F14" i="12"/>
  <c r="Q69" i="12"/>
  <c r="E14" i="12"/>
  <c r="Q68" i="12"/>
  <c r="F5" i="12"/>
  <c r="D5" i="12"/>
  <c r="B5" i="12"/>
  <c r="A4" i="12"/>
  <c r="B2" i="12"/>
  <c r="A1" i="12"/>
  <c r="AQ43" i="12"/>
  <c r="AQ27" i="12"/>
  <c r="AP25" i="12"/>
  <c r="Q52" i="12"/>
  <c r="Q53" i="12"/>
  <c r="AN47" i="12"/>
  <c r="AP27" i="12"/>
  <c r="P52" i="12"/>
  <c r="P53" i="12"/>
  <c r="P56" i="12"/>
  <c r="AN18" i="12"/>
  <c r="AO25" i="12"/>
  <c r="AO27" i="12"/>
  <c r="AO41" i="12"/>
  <c r="AP41" i="12"/>
  <c r="P57" i="12"/>
  <c r="P55" i="12"/>
  <c r="AC26" i="12"/>
  <c r="AP43" i="12"/>
  <c r="P59" i="12"/>
  <c r="AC24" i="12"/>
  <c r="AC27" i="12"/>
  <c r="AC33" i="12"/>
  <c r="O52" i="12"/>
  <c r="O53" i="12"/>
  <c r="O56" i="12"/>
  <c r="AO43" i="12"/>
  <c r="O55" i="12"/>
  <c r="O57" i="12"/>
  <c r="AB26" i="12"/>
  <c r="AC34" i="12"/>
  <c r="Z24" i="12"/>
  <c r="AC25" i="12"/>
  <c r="AC28" i="12"/>
  <c r="B2" i="4"/>
  <c r="Z3" i="1"/>
  <c r="AA70" i="1"/>
  <c r="AA69" i="1"/>
  <c r="AA68" i="1"/>
  <c r="AA67" i="1"/>
  <c r="AA66" i="1"/>
  <c r="AA65" i="1"/>
  <c r="AA64" i="1"/>
  <c r="AA63" i="1"/>
  <c r="AA62" i="1"/>
  <c r="AA61" i="1"/>
  <c r="AA60" i="1"/>
  <c r="AA59" i="1"/>
  <c r="AA58" i="1"/>
  <c r="AA57" i="1"/>
  <c r="AA56" i="1"/>
  <c r="AA55" i="1"/>
  <c r="AA54" i="1"/>
  <c r="AA53" i="1"/>
  <c r="AA52" i="1"/>
  <c r="AA51" i="1"/>
  <c r="AA50" i="1"/>
  <c r="AA49" i="1"/>
  <c r="AA48" i="1"/>
  <c r="AA47" i="1"/>
  <c r="AA46" i="1"/>
  <c r="AA45" i="1"/>
  <c r="AA44" i="1"/>
  <c r="AA43" i="1"/>
  <c r="AA42" i="1"/>
  <c r="AA41" i="1"/>
  <c r="AA40" i="1"/>
  <c r="AA39" i="1"/>
  <c r="AA38" i="1"/>
  <c r="AA37" i="1"/>
  <c r="AA36" i="1"/>
  <c r="AA35" i="1"/>
  <c r="AA34" i="1"/>
  <c r="AA33" i="1"/>
  <c r="AA32" i="1"/>
  <c r="AA31" i="1"/>
  <c r="AA30" i="1"/>
  <c r="AA29" i="1"/>
  <c r="AA28" i="1"/>
  <c r="AA27" i="1"/>
  <c r="AA26" i="1"/>
  <c r="AA25" i="1"/>
  <c r="AA24" i="1"/>
  <c r="AA23" i="1"/>
  <c r="AA22" i="1"/>
  <c r="AA21" i="1"/>
  <c r="AA20" i="1"/>
  <c r="AA19" i="1"/>
  <c r="AA18" i="1"/>
  <c r="AA17" i="1"/>
  <c r="AA16" i="1"/>
  <c r="AA15" i="1"/>
  <c r="AA14" i="1"/>
  <c r="AA13" i="1"/>
  <c r="AA12" i="1"/>
  <c r="AA11" i="1"/>
  <c r="AA10" i="1"/>
  <c r="AA9" i="1"/>
  <c r="AA8" i="1"/>
  <c r="AA7" i="1"/>
  <c r="AA6" i="1"/>
  <c r="AA4" i="1"/>
  <c r="AA5" i="1"/>
  <c r="Y4" i="1"/>
  <c r="U4" i="1"/>
  <c r="AA3" i="1"/>
  <c r="V3" i="1"/>
  <c r="AB3" i="1"/>
  <c r="AC29" i="12"/>
  <c r="AC35" i="12"/>
  <c r="AD26" i="12"/>
  <c r="AB28" i="12"/>
  <c r="AB32" i="12"/>
  <c r="Z25" i="12"/>
  <c r="R24" i="12"/>
  <c r="U24" i="12"/>
  <c r="AF24" i="12"/>
  <c r="O59" i="12"/>
  <c r="AB24" i="12"/>
  <c r="AB33" i="12"/>
  <c r="AC30" i="12"/>
  <c r="Z26" i="12"/>
  <c r="AF25" i="12"/>
  <c r="AD28" i="12"/>
  <c r="AB29" i="12"/>
  <c r="AC37" i="12"/>
  <c r="AB25" i="12"/>
  <c r="Y24" i="12"/>
  <c r="AD24" i="12"/>
  <c r="C8" i="6"/>
  <c r="C6" i="6"/>
  <c r="C3" i="6" a="1"/>
  <c r="C3" i="6"/>
  <c r="C2" i="6"/>
  <c r="AD25" i="12"/>
  <c r="AC38" i="12"/>
  <c r="AD33" i="12"/>
  <c r="AB34" i="12"/>
  <c r="AC31" i="12"/>
  <c r="AB30" i="12"/>
  <c r="AD29" i="12"/>
  <c r="Z27" i="12"/>
  <c r="AF26" i="12"/>
  <c r="Y25" i="12"/>
  <c r="AE24" i="12"/>
  <c r="Q24" i="12"/>
  <c r="T24" i="12"/>
  <c r="AA24" i="12"/>
  <c r="AC32" i="12"/>
  <c r="AC43" i="12"/>
  <c r="AB31" i="12"/>
  <c r="AD30" i="12"/>
  <c r="AD34" i="12"/>
  <c r="AB35" i="12"/>
  <c r="AG24" i="12"/>
  <c r="S24" i="12"/>
  <c r="AH24" i="12"/>
  <c r="AI24" i="12"/>
  <c r="W24" i="12"/>
  <c r="AH25" i="12"/>
  <c r="AF27" i="12"/>
  <c r="Z28" i="12"/>
  <c r="AC39" i="12"/>
  <c r="AA25" i="12"/>
  <c r="AE25" i="12"/>
  <c r="Y26" i="12"/>
  <c r="H45" i="3"/>
  <c r="G45" i="3"/>
  <c r="E45" i="3"/>
  <c r="H44" i="3"/>
  <c r="G44" i="3"/>
  <c r="B47" i="3"/>
  <c r="B41" i="3"/>
  <c r="B40" i="3"/>
  <c r="B38" i="3"/>
  <c r="B37" i="3"/>
  <c r="B36" i="3"/>
  <c r="B35" i="3"/>
  <c r="B34" i="3"/>
  <c r="B31" i="3"/>
  <c r="B30" i="3"/>
  <c r="B29" i="3"/>
  <c r="B28" i="3"/>
  <c r="B27" i="3"/>
  <c r="B26" i="3"/>
  <c r="AJ24" i="12"/>
  <c r="AK24" i="12"/>
  <c r="X24" i="12"/>
  <c r="AF28" i="12"/>
  <c r="Z29" i="12"/>
  <c r="AA26" i="12"/>
  <c r="Y27" i="12"/>
  <c r="AE26" i="12"/>
  <c r="AB27" i="12"/>
  <c r="Y35" i="12"/>
  <c r="AD35" i="12"/>
  <c r="AB37" i="12"/>
  <c r="AJ25" i="12"/>
  <c r="AK25" i="12"/>
  <c r="AG25" i="12"/>
  <c r="AC40" i="12"/>
  <c r="AD32" i="12"/>
  <c r="AD31" i="12"/>
  <c r="AB43" i="12"/>
  <c r="AI25" i="12"/>
  <c r="W25" i="12"/>
  <c r="W26" i="12"/>
  <c r="W27" i="12"/>
  <c r="W28" i="12"/>
  <c r="W29" i="12"/>
  <c r="W30" i="12"/>
  <c r="W31" i="12"/>
  <c r="AH26" i="12"/>
  <c r="Y70" i="1"/>
  <c r="Y69" i="1"/>
  <c r="Y68" i="1"/>
  <c r="Y67" i="1"/>
  <c r="Y66" i="1"/>
  <c r="Y65" i="1"/>
  <c r="Y64" i="1"/>
  <c r="Y63" i="1"/>
  <c r="Y62" i="1"/>
  <c r="Y61" i="1"/>
  <c r="Y60" i="1"/>
  <c r="Y59" i="1"/>
  <c r="Y58" i="1"/>
  <c r="Y57" i="1"/>
  <c r="Y56" i="1"/>
  <c r="Y55" i="1"/>
  <c r="Y54" i="1"/>
  <c r="Y53" i="1"/>
  <c r="Y52" i="1"/>
  <c r="Y51" i="1"/>
  <c r="Y50" i="1"/>
  <c r="Y49" i="1"/>
  <c r="Y48" i="1"/>
  <c r="Y47" i="1"/>
  <c r="Y46" i="1"/>
  <c r="Y45" i="1"/>
  <c r="Y44" i="1"/>
  <c r="Y43" i="1"/>
  <c r="Y42" i="1"/>
  <c r="Y41" i="1"/>
  <c r="Y40" i="1"/>
  <c r="Y39" i="1"/>
  <c r="Y38" i="1"/>
  <c r="Y37" i="1"/>
  <c r="Y36" i="1"/>
  <c r="Y35" i="1"/>
  <c r="Y34" i="1"/>
  <c r="Y33" i="1"/>
  <c r="Y32" i="1"/>
  <c r="Y31" i="1"/>
  <c r="Y30" i="1"/>
  <c r="Y29" i="1"/>
  <c r="Y28" i="1"/>
  <c r="Y27" i="1"/>
  <c r="Y26" i="1"/>
  <c r="Y25" i="1"/>
  <c r="Y24" i="1"/>
  <c r="Y23" i="1"/>
  <c r="Y22" i="1"/>
  <c r="Y21" i="1"/>
  <c r="Y20" i="1"/>
  <c r="Y19" i="1"/>
  <c r="Y18" i="1"/>
  <c r="Y17" i="1"/>
  <c r="Y16" i="1"/>
  <c r="Y15" i="1"/>
  <c r="Y14" i="1"/>
  <c r="Y13" i="1"/>
  <c r="Y12" i="1"/>
  <c r="Y11" i="1"/>
  <c r="Y10" i="1"/>
  <c r="Y9" i="1"/>
  <c r="Y8" i="1"/>
  <c r="Y7" i="1"/>
  <c r="Y6" i="1"/>
  <c r="Y5" i="1"/>
  <c r="AI26" i="12"/>
  <c r="AH27" i="12"/>
  <c r="Y43" i="12"/>
  <c r="AD43" i="12"/>
  <c r="AB38" i="12"/>
  <c r="AD37" i="12"/>
  <c r="Y37" i="12"/>
  <c r="AE35" i="12"/>
  <c r="W43" i="12"/>
  <c r="W32" i="12"/>
  <c r="W33" i="12"/>
  <c r="W34" i="12"/>
  <c r="AD27" i="12"/>
  <c r="AA27" i="12"/>
  <c r="AE27" i="12"/>
  <c r="Y28" i="12"/>
  <c r="AG26" i="12"/>
  <c r="AJ26" i="12"/>
  <c r="AK26" i="12"/>
  <c r="Z30" i="12"/>
  <c r="AF29" i="12"/>
  <c r="AC41" i="12"/>
  <c r="X25" i="12"/>
  <c r="V24" i="12"/>
  <c r="C9" i="6"/>
  <c r="V25" i="12"/>
  <c r="S25" i="12"/>
  <c r="X26" i="12"/>
  <c r="AE43" i="12"/>
  <c r="AA43" i="12"/>
  <c r="AC42" i="12"/>
  <c r="Y29" i="12"/>
  <c r="AE28" i="12"/>
  <c r="AA28" i="12"/>
  <c r="AD38" i="12"/>
  <c r="AB39" i="12"/>
  <c r="AG27" i="12"/>
  <c r="AJ27" i="12"/>
  <c r="AK27" i="12"/>
  <c r="AH28" i="12"/>
  <c r="AI27" i="12"/>
  <c r="AF30" i="12"/>
  <c r="Z31" i="12"/>
  <c r="Y38" i="12"/>
  <c r="AE37" i="12"/>
  <c r="F10" i="4"/>
  <c r="B10" i="4"/>
  <c r="E10" i="4"/>
  <c r="D10" i="4"/>
  <c r="A15" i="4"/>
  <c r="AG43" i="12"/>
  <c r="AD39" i="12"/>
  <c r="AB40" i="12"/>
  <c r="Y39" i="12"/>
  <c r="AE38" i="12"/>
  <c r="Y30" i="12"/>
  <c r="AE29" i="12"/>
  <c r="AA29" i="12"/>
  <c r="AF31" i="12"/>
  <c r="Z32" i="12"/>
  <c r="AI28" i="12"/>
  <c r="AH29" i="12"/>
  <c r="V26" i="12"/>
  <c r="S26" i="12"/>
  <c r="X27" i="12"/>
  <c r="AG28" i="12"/>
  <c r="AJ28" i="12"/>
  <c r="AK28" i="12"/>
  <c r="Q25" i="12"/>
  <c r="T25" i="12"/>
  <c r="R25" i="12"/>
  <c r="U25" i="12"/>
  <c r="P25" i="12"/>
  <c r="O25" i="12"/>
  <c r="B32" i="12"/>
  <c r="D31" i="5"/>
  <c r="B6" i="3"/>
  <c r="B5" i="3"/>
  <c r="B4" i="3"/>
  <c r="U3" i="1"/>
  <c r="AW71" i="2"/>
  <c r="AW66" i="2"/>
  <c r="X70" i="1"/>
  <c r="X69" i="1"/>
  <c r="X68" i="1"/>
  <c r="X67" i="1"/>
  <c r="X66" i="1"/>
  <c r="X65" i="1"/>
  <c r="X64" i="1"/>
  <c r="X63" i="1"/>
  <c r="X62" i="1"/>
  <c r="X61" i="1"/>
  <c r="X60" i="1"/>
  <c r="X59" i="1"/>
  <c r="X58" i="1"/>
  <c r="X57" i="1"/>
  <c r="X56" i="1"/>
  <c r="X55" i="1"/>
  <c r="X54" i="1"/>
  <c r="X53" i="1"/>
  <c r="X52" i="1"/>
  <c r="X51" i="1"/>
  <c r="X50" i="1"/>
  <c r="X49" i="1"/>
  <c r="X48" i="1"/>
  <c r="X47" i="1"/>
  <c r="X46" i="1"/>
  <c r="X45" i="1"/>
  <c r="X44" i="1"/>
  <c r="X43" i="1"/>
  <c r="X42" i="1"/>
  <c r="X41" i="1"/>
  <c r="X40" i="1"/>
  <c r="X39" i="1"/>
  <c r="X38" i="1"/>
  <c r="X37" i="1"/>
  <c r="X36" i="1"/>
  <c r="X35" i="1"/>
  <c r="X34" i="1"/>
  <c r="X33" i="1"/>
  <c r="X32" i="1"/>
  <c r="X31" i="1"/>
  <c r="X30" i="1"/>
  <c r="X29" i="1"/>
  <c r="X28" i="1"/>
  <c r="X27" i="1"/>
  <c r="X26" i="1"/>
  <c r="X25" i="1"/>
  <c r="X24" i="1"/>
  <c r="X23" i="1"/>
  <c r="X22" i="1"/>
  <c r="X21" i="1"/>
  <c r="X20" i="1"/>
  <c r="X19" i="1"/>
  <c r="X18" i="1"/>
  <c r="X17" i="1"/>
  <c r="X16" i="1"/>
  <c r="X15" i="1"/>
  <c r="X14" i="1"/>
  <c r="X13" i="1"/>
  <c r="X12" i="1"/>
  <c r="X11" i="1"/>
  <c r="X10" i="1"/>
  <c r="X9" i="1"/>
  <c r="X8" i="1"/>
  <c r="X7" i="1"/>
  <c r="X6" i="1"/>
  <c r="X5" i="1"/>
  <c r="X4" i="1"/>
  <c r="U70" i="1"/>
  <c r="U69" i="1"/>
  <c r="U68" i="1"/>
  <c r="U67" i="1"/>
  <c r="U66" i="1"/>
  <c r="U65" i="1"/>
  <c r="U64" i="1"/>
  <c r="U63" i="1"/>
  <c r="U62" i="1"/>
  <c r="U61" i="1"/>
  <c r="U60" i="1"/>
  <c r="U59" i="1"/>
  <c r="U58" i="1"/>
  <c r="U57" i="1"/>
  <c r="U56" i="1"/>
  <c r="U55" i="1"/>
  <c r="U54" i="1"/>
  <c r="U53" i="1"/>
  <c r="U52" i="1"/>
  <c r="U51" i="1"/>
  <c r="U50" i="1"/>
  <c r="U49" i="1"/>
  <c r="U48" i="1"/>
  <c r="U47" i="1"/>
  <c r="U46" i="1"/>
  <c r="U45" i="1"/>
  <c r="U44" i="1"/>
  <c r="U43" i="1"/>
  <c r="U42" i="1"/>
  <c r="U41" i="1"/>
  <c r="U40" i="1"/>
  <c r="U39" i="1"/>
  <c r="U38" i="1"/>
  <c r="U37" i="1"/>
  <c r="U36" i="1"/>
  <c r="U35" i="1"/>
  <c r="U34" i="1"/>
  <c r="U33" i="1"/>
  <c r="U32" i="1"/>
  <c r="U31" i="1"/>
  <c r="U30" i="1"/>
  <c r="U29" i="1"/>
  <c r="U28" i="1"/>
  <c r="U27" i="1"/>
  <c r="U26" i="1"/>
  <c r="U25" i="1"/>
  <c r="U24" i="1"/>
  <c r="U23" i="1"/>
  <c r="U22" i="1"/>
  <c r="U21" i="1"/>
  <c r="U20" i="1"/>
  <c r="U19" i="1"/>
  <c r="U18" i="1"/>
  <c r="U17" i="1"/>
  <c r="U16" i="1"/>
  <c r="U15" i="1"/>
  <c r="U14" i="1"/>
  <c r="U13" i="1"/>
  <c r="U12" i="1"/>
  <c r="U11" i="1"/>
  <c r="U10" i="1"/>
  <c r="U9" i="1"/>
  <c r="U8" i="1"/>
  <c r="U7" i="1"/>
  <c r="U6" i="1"/>
  <c r="U5" i="1"/>
  <c r="AF32" i="12"/>
  <c r="Z33" i="12"/>
  <c r="AA30" i="12"/>
  <c r="AE30" i="12"/>
  <c r="Y31" i="12"/>
  <c r="AG29" i="12"/>
  <c r="AJ29" i="12"/>
  <c r="AK29" i="12"/>
  <c r="AE39" i="12"/>
  <c r="Y40" i="12"/>
  <c r="X28" i="12"/>
  <c r="V27" i="12"/>
  <c r="S27" i="12"/>
  <c r="AD40" i="12"/>
  <c r="AB41" i="12"/>
  <c r="P26" i="12"/>
  <c r="O26" i="12"/>
  <c r="R26" i="12"/>
  <c r="Q26" i="12"/>
  <c r="T26" i="12"/>
  <c r="AI29" i="12"/>
  <c r="AH30" i="12"/>
  <c r="H40" i="4"/>
  <c r="G40" i="4"/>
  <c r="AW65" i="2"/>
  <c r="AW83" i="2"/>
  <c r="G13" i="3"/>
  <c r="AZ71" i="2"/>
  <c r="AZ66" i="2"/>
  <c r="AZ42" i="2"/>
  <c r="AY42" i="2"/>
  <c r="AX42" i="2"/>
  <c r="AZ41" i="2"/>
  <c r="AY41" i="2"/>
  <c r="AX41" i="2"/>
  <c r="AZ37" i="2"/>
  <c r="AY37" i="2"/>
  <c r="AX37" i="2"/>
  <c r="AZ36" i="2"/>
  <c r="AY36" i="2"/>
  <c r="AX36" i="2"/>
  <c r="AZ19" i="2"/>
  <c r="AY19" i="2"/>
  <c r="AX19" i="2"/>
  <c r="AZ12" i="2"/>
  <c r="AY12" i="2"/>
  <c r="AX12" i="2"/>
  <c r="R19" i="2"/>
  <c r="Q19" i="2"/>
  <c r="P19" i="2"/>
  <c r="O19" i="2"/>
  <c r="N19" i="2"/>
  <c r="M19" i="2"/>
  <c r="L19" i="2"/>
  <c r="K19" i="2"/>
  <c r="J19" i="2"/>
  <c r="I19" i="2"/>
  <c r="H19" i="2"/>
  <c r="G19" i="2"/>
  <c r="F19" i="2"/>
  <c r="E19" i="2"/>
  <c r="D19" i="2"/>
  <c r="C19" i="2"/>
  <c r="B19" i="2"/>
  <c r="R12" i="2"/>
  <c r="Q12" i="2"/>
  <c r="P12" i="2"/>
  <c r="O12" i="2"/>
  <c r="N12" i="2"/>
  <c r="M12" i="2"/>
  <c r="L12" i="2"/>
  <c r="K12" i="2"/>
  <c r="J12" i="2"/>
  <c r="I12" i="2"/>
  <c r="H12" i="2"/>
  <c r="G12" i="2"/>
  <c r="F12" i="2"/>
  <c r="E12" i="2"/>
  <c r="D12" i="2"/>
  <c r="C12" i="2"/>
  <c r="B12" i="2"/>
  <c r="Y41" i="12"/>
  <c r="AE40" i="12"/>
  <c r="AI30" i="12"/>
  <c r="AH31" i="12"/>
  <c r="AA31" i="12"/>
  <c r="AE31" i="12"/>
  <c r="Y32" i="12"/>
  <c r="R27" i="12"/>
  <c r="U26" i="12"/>
  <c r="AJ30" i="12"/>
  <c r="AK30" i="12"/>
  <c r="AG30" i="12"/>
  <c r="Q27" i="12"/>
  <c r="T27" i="12"/>
  <c r="P27" i="12"/>
  <c r="O27" i="12"/>
  <c r="B31" i="12"/>
  <c r="B30" i="12"/>
  <c r="AF33" i="12"/>
  <c r="Z34" i="12"/>
  <c r="X29" i="12"/>
  <c r="V28" i="12"/>
  <c r="S28" i="12"/>
  <c r="AD41" i="12"/>
  <c r="AB42" i="12"/>
  <c r="B9" i="4"/>
  <c r="N26" i="2"/>
  <c r="AZ65" i="2"/>
  <c r="AZ83" i="2"/>
  <c r="D26" i="2"/>
  <c r="I26" i="2"/>
  <c r="L28" i="2"/>
  <c r="AY28" i="2"/>
  <c r="M26" i="2"/>
  <c r="C29" i="2"/>
  <c r="H29" i="2"/>
  <c r="J26" i="2"/>
  <c r="AZ21" i="2"/>
  <c r="AZ28" i="2"/>
  <c r="K26" i="2"/>
  <c r="P28" i="2"/>
  <c r="Q29" i="2"/>
  <c r="AX28" i="2"/>
  <c r="B26" i="2"/>
  <c r="O28" i="2"/>
  <c r="R28" i="2"/>
  <c r="E22" i="2"/>
  <c r="F22" i="2"/>
  <c r="AY21" i="2"/>
  <c r="L21" i="2"/>
  <c r="G29" i="2"/>
  <c r="N28" i="2"/>
  <c r="AX22" i="2"/>
  <c r="AY22" i="2"/>
  <c r="AX21" i="2"/>
  <c r="AZ22" i="2"/>
  <c r="H22" i="2"/>
  <c r="J22" i="2"/>
  <c r="M22" i="2"/>
  <c r="D22" i="2"/>
  <c r="E29" i="2"/>
  <c r="H21" i="2"/>
  <c r="F26" i="2"/>
  <c r="J21" i="2"/>
  <c r="K21" i="2"/>
  <c r="M21" i="2"/>
  <c r="L29" i="2"/>
  <c r="I22" i="2"/>
  <c r="N21" i="2"/>
  <c r="K22" i="2"/>
  <c r="O29" i="2"/>
  <c r="L22" i="2"/>
  <c r="B22" i="2"/>
  <c r="C22" i="2"/>
  <c r="Q22" i="2"/>
  <c r="G22" i="2"/>
  <c r="R29" i="2"/>
  <c r="E26" i="2"/>
  <c r="F29" i="2"/>
  <c r="I21" i="2"/>
  <c r="G26" i="2"/>
  <c r="F28" i="2"/>
  <c r="B21" i="2"/>
  <c r="P21" i="2"/>
  <c r="D21" i="2"/>
  <c r="R21" i="2"/>
  <c r="O22" i="2"/>
  <c r="L26" i="2"/>
  <c r="G28" i="2"/>
  <c r="C21" i="2"/>
  <c r="Q21" i="2"/>
  <c r="N22" i="2"/>
  <c r="E21" i="2"/>
  <c r="P22" i="2"/>
  <c r="E28" i="2"/>
  <c r="O21" i="2"/>
  <c r="F21" i="2"/>
  <c r="G21" i="2"/>
  <c r="R22" i="2"/>
  <c r="O26" i="2"/>
  <c r="D28" i="2"/>
  <c r="R26" i="2"/>
  <c r="N29" i="2"/>
  <c r="B29" i="12"/>
  <c r="B50" i="12"/>
  <c r="B62" i="12"/>
  <c r="AE32" i="12"/>
  <c r="AA32" i="12"/>
  <c r="Y33" i="12"/>
  <c r="P28" i="12"/>
  <c r="O28" i="12"/>
  <c r="B35" i="12"/>
  <c r="AF34" i="12"/>
  <c r="Z35" i="12"/>
  <c r="AH43" i="12"/>
  <c r="AH32" i="12"/>
  <c r="AI31" i="12"/>
  <c r="R28" i="12"/>
  <c r="U27" i="12"/>
  <c r="AD42" i="12"/>
  <c r="AE41" i="12"/>
  <c r="Y42" i="12"/>
  <c r="AG31" i="12"/>
  <c r="AJ31" i="12"/>
  <c r="AK31" i="12"/>
  <c r="X30" i="12"/>
  <c r="V29" i="12"/>
  <c r="S29" i="12"/>
  <c r="D29" i="2"/>
  <c r="C26" i="2"/>
  <c r="I29" i="2"/>
  <c r="I28" i="2"/>
  <c r="J29" i="2"/>
  <c r="K28" i="2"/>
  <c r="AY29" i="2"/>
  <c r="M28" i="2"/>
  <c r="P26" i="2"/>
  <c r="AZ29" i="2"/>
  <c r="J28" i="2"/>
  <c r="AZ26" i="2"/>
  <c r="K29" i="2"/>
  <c r="Q28" i="2"/>
  <c r="B29" i="2"/>
  <c r="AX26" i="2"/>
  <c r="C28" i="2"/>
  <c r="M29" i="2"/>
  <c r="P29" i="2"/>
  <c r="AY26" i="2"/>
  <c r="AX29" i="2"/>
  <c r="H26" i="2"/>
  <c r="Q26" i="2"/>
  <c r="B28" i="2"/>
  <c r="H28" i="2"/>
  <c r="AI43" i="12"/>
  <c r="AJ43" i="12"/>
  <c r="AK43" i="12"/>
  <c r="AE42" i="12"/>
  <c r="R29" i="12"/>
  <c r="U28" i="12"/>
  <c r="Q29" i="12"/>
  <c r="T29" i="12"/>
  <c r="P29" i="12"/>
  <c r="O29" i="12"/>
  <c r="B36" i="12"/>
  <c r="AG32" i="12"/>
  <c r="AJ32" i="12"/>
  <c r="AK32" i="12"/>
  <c r="AI32" i="12"/>
  <c r="AH33" i="12"/>
  <c r="V30" i="12"/>
  <c r="S30" i="12"/>
  <c r="X31" i="12"/>
  <c r="Z43" i="12"/>
  <c r="AF43" i="12"/>
  <c r="Z37" i="12"/>
  <c r="AF35" i="12"/>
  <c r="AA35" i="12"/>
  <c r="Q28" i="12"/>
  <c r="T28" i="12"/>
  <c r="AE33" i="12"/>
  <c r="AA33" i="12"/>
  <c r="Y34" i="12"/>
  <c r="E12" i="3"/>
  <c r="F12" i="3"/>
  <c r="X32" i="12"/>
  <c r="X43" i="12"/>
  <c r="V43" i="12"/>
  <c r="S43" i="12"/>
  <c r="V31" i="12"/>
  <c r="S31" i="12"/>
  <c r="AI33" i="12"/>
  <c r="AH34" i="12"/>
  <c r="Z38" i="12"/>
  <c r="AF37" i="12"/>
  <c r="AA37" i="12"/>
  <c r="Q30" i="12"/>
  <c r="T30" i="12"/>
  <c r="P30" i="12"/>
  <c r="O30" i="12"/>
  <c r="B37" i="12"/>
  <c r="AE34" i="12"/>
  <c r="AA34" i="12"/>
  <c r="AJ33" i="12"/>
  <c r="AK33" i="12"/>
  <c r="AG33" i="12"/>
  <c r="R30" i="12"/>
  <c r="U29" i="12"/>
  <c r="AH35" i="12"/>
  <c r="AJ35" i="12"/>
  <c r="AK35" i="12"/>
  <c r="AG35" i="12"/>
  <c r="G12" i="3"/>
  <c r="P31" i="12"/>
  <c r="O31" i="12"/>
  <c r="AG34" i="12"/>
  <c r="AJ34" i="12"/>
  <c r="AK34" i="12"/>
  <c r="AG37" i="12"/>
  <c r="AI34" i="12"/>
  <c r="P43" i="12"/>
  <c r="O43" i="12"/>
  <c r="B40" i="12"/>
  <c r="Z39" i="12"/>
  <c r="AF38" i="12"/>
  <c r="AA38" i="12"/>
  <c r="AI35" i="12"/>
  <c r="W35" i="12"/>
  <c r="W37" i="12"/>
  <c r="W38" i="12"/>
  <c r="W39" i="12"/>
  <c r="W40" i="12"/>
  <c r="W41" i="12"/>
  <c r="W42" i="12"/>
  <c r="AH37" i="12"/>
  <c r="R31" i="12"/>
  <c r="U30" i="12"/>
  <c r="X33" i="12"/>
  <c r="V32" i="12"/>
  <c r="S32" i="12"/>
  <c r="M3" i="1"/>
  <c r="A30" i="4"/>
  <c r="A29" i="4"/>
  <c r="F40" i="4"/>
  <c r="E40" i="4"/>
  <c r="X3" i="1"/>
  <c r="W3" i="1"/>
  <c r="C11" i="6"/>
  <c r="J3" i="1"/>
  <c r="T3" i="1"/>
  <c r="S3" i="1"/>
  <c r="P3" i="1"/>
  <c r="N3" i="1"/>
  <c r="L3" i="1"/>
  <c r="E3" i="1"/>
  <c r="D3" i="1"/>
  <c r="D30" i="5"/>
  <c r="F4" i="4"/>
  <c r="H24" i="4"/>
  <c r="AI37" i="12"/>
  <c r="AH38" i="12"/>
  <c r="AJ37" i="12"/>
  <c r="AK37" i="12"/>
  <c r="X34" i="12"/>
  <c r="V33" i="12"/>
  <c r="S33" i="12"/>
  <c r="AJ38" i="12"/>
  <c r="AK38" i="12"/>
  <c r="AG38" i="12"/>
  <c r="AF39" i="12"/>
  <c r="Z40" i="12"/>
  <c r="AA39" i="12"/>
  <c r="P32" i="12"/>
  <c r="O32" i="12"/>
  <c r="B34" i="12"/>
  <c r="R32" i="12"/>
  <c r="U32" i="12"/>
  <c r="R43" i="12"/>
  <c r="U31" i="12"/>
  <c r="Q31" i="12"/>
  <c r="T31" i="12"/>
  <c r="C12" i="6"/>
  <c r="C13" i="6"/>
  <c r="C5" i="6"/>
  <c r="J24" i="4"/>
  <c r="H27" i="4"/>
  <c r="E4" i="4"/>
  <c r="C4" i="4"/>
  <c r="A23" i="3"/>
  <c r="A1" i="1"/>
  <c r="A1" i="4"/>
  <c r="A1" i="3"/>
  <c r="A1" i="2"/>
  <c r="I3" i="1"/>
  <c r="G3" i="1"/>
  <c r="D29" i="5"/>
  <c r="U43" i="12"/>
  <c r="Q43" i="12"/>
  <c r="T43" i="12"/>
  <c r="P33" i="12"/>
  <c r="O33" i="12"/>
  <c r="B39" i="12"/>
  <c r="X35" i="12"/>
  <c r="V34" i="12"/>
  <c r="S34" i="12"/>
  <c r="P34" i="12"/>
  <c r="O34" i="12"/>
  <c r="B33" i="12"/>
  <c r="AN48" i="12"/>
  <c r="AI38" i="12"/>
  <c r="AH39" i="12"/>
  <c r="Q32" i="12"/>
  <c r="AG39" i="12"/>
  <c r="AJ39" i="12"/>
  <c r="AK39" i="12"/>
  <c r="AF40" i="12"/>
  <c r="Z41" i="12"/>
  <c r="AA40" i="12"/>
  <c r="K3" i="1"/>
  <c r="C7" i="6"/>
  <c r="H46" i="3"/>
  <c r="G46" i="3"/>
  <c r="E2" i="3"/>
  <c r="A39" i="4"/>
  <c r="D40" i="4"/>
  <c r="D32" i="5"/>
  <c r="AW3" i="2"/>
  <c r="R3" i="1"/>
  <c r="O3" i="1"/>
  <c r="F24" i="4"/>
  <c r="F27" i="4"/>
  <c r="D4" i="4"/>
  <c r="B4" i="4"/>
  <c r="AG40" i="12"/>
  <c r="AF41" i="12"/>
  <c r="Z42" i="12"/>
  <c r="AA41" i="12"/>
  <c r="X37" i="12"/>
  <c r="V35" i="12"/>
  <c r="S35" i="12"/>
  <c r="Q33" i="12"/>
  <c r="T32" i="12"/>
  <c r="AI39" i="12"/>
  <c r="AH40" i="12"/>
  <c r="AV3" i="2"/>
  <c r="AU3" i="2"/>
  <c r="AT3" i="2"/>
  <c r="AS3" i="2"/>
  <c r="AR3" i="2"/>
  <c r="AQ3" i="2"/>
  <c r="AP3" i="2"/>
  <c r="AO3" i="2"/>
  <c r="AN3" i="2"/>
  <c r="AM3" i="2"/>
  <c r="AL3" i="2"/>
  <c r="AK3" i="2"/>
  <c r="AJ3" i="2"/>
  <c r="AI3" i="2"/>
  <c r="AH3" i="2"/>
  <c r="AG3" i="2"/>
  <c r="AF3" i="2"/>
  <c r="AE3" i="2"/>
  <c r="AD3" i="2"/>
  <c r="AC3" i="2"/>
  <c r="AB3" i="2"/>
  <c r="AA3" i="2"/>
  <c r="Z3" i="2"/>
  <c r="Y3" i="2"/>
  <c r="X3" i="2"/>
  <c r="W3" i="2"/>
  <c r="V3" i="2"/>
  <c r="U3" i="2"/>
  <c r="T3" i="2"/>
  <c r="S3" i="2"/>
  <c r="R3" i="2"/>
  <c r="Q3" i="2"/>
  <c r="P3" i="2"/>
  <c r="O3" i="2"/>
  <c r="N3" i="2"/>
  <c r="M3" i="2"/>
  <c r="L3" i="2"/>
  <c r="K3" i="2"/>
  <c r="J3" i="2"/>
  <c r="I3" i="2"/>
  <c r="H3" i="2"/>
  <c r="G3" i="2"/>
  <c r="F3" i="2"/>
  <c r="E3" i="2"/>
  <c r="D3" i="2"/>
  <c r="C3" i="2"/>
  <c r="B3" i="2"/>
  <c r="AX3" i="2"/>
  <c r="AY3" i="2"/>
  <c r="AZ3" i="2"/>
  <c r="F2" i="3"/>
  <c r="E25" i="3"/>
  <c r="G50" i="3"/>
  <c r="E28" i="3"/>
  <c r="E31" i="3"/>
  <c r="F29" i="4"/>
  <c r="T8" i="1"/>
  <c r="AB8" i="1"/>
  <c r="S8" i="1"/>
  <c r="B2" i="2"/>
  <c r="T70" i="1"/>
  <c r="AB70" i="1"/>
  <c r="S70" i="1"/>
  <c r="R70" i="1"/>
  <c r="Q70" i="1"/>
  <c r="T69" i="1"/>
  <c r="AB69" i="1"/>
  <c r="S69" i="1"/>
  <c r="R69" i="1"/>
  <c r="Q69" i="1"/>
  <c r="T68" i="1"/>
  <c r="AB68" i="1"/>
  <c r="S68" i="1"/>
  <c r="R68" i="1"/>
  <c r="Q68" i="1"/>
  <c r="T67" i="1"/>
  <c r="AB67" i="1"/>
  <c r="S67" i="1"/>
  <c r="R67" i="1"/>
  <c r="Q67" i="1"/>
  <c r="T66" i="1"/>
  <c r="AB66" i="1"/>
  <c r="S66" i="1"/>
  <c r="R66" i="1"/>
  <c r="Q66" i="1"/>
  <c r="T65" i="1"/>
  <c r="AB65" i="1"/>
  <c r="S65" i="1"/>
  <c r="R65" i="1"/>
  <c r="Q65" i="1"/>
  <c r="T64" i="1"/>
  <c r="AB64" i="1"/>
  <c r="S64" i="1"/>
  <c r="R64" i="1"/>
  <c r="Q64" i="1"/>
  <c r="T63" i="1"/>
  <c r="AB63" i="1"/>
  <c r="S63" i="1"/>
  <c r="R63" i="1"/>
  <c r="Q63" i="1"/>
  <c r="T62" i="1"/>
  <c r="AB62" i="1"/>
  <c r="S62" i="1"/>
  <c r="R62" i="1"/>
  <c r="Q62" i="1"/>
  <c r="T61" i="1"/>
  <c r="AB61" i="1"/>
  <c r="S61" i="1"/>
  <c r="R61" i="1"/>
  <c r="Q61" i="1"/>
  <c r="T60" i="1"/>
  <c r="AB60" i="1"/>
  <c r="S60" i="1"/>
  <c r="R60" i="1"/>
  <c r="Q60" i="1"/>
  <c r="T59" i="1"/>
  <c r="AB59" i="1"/>
  <c r="S59" i="1"/>
  <c r="R59" i="1"/>
  <c r="Q59" i="1"/>
  <c r="T58" i="1"/>
  <c r="AB58" i="1"/>
  <c r="S58" i="1"/>
  <c r="R58" i="1"/>
  <c r="Q58" i="1"/>
  <c r="T57" i="1"/>
  <c r="AB57" i="1"/>
  <c r="S57" i="1"/>
  <c r="R57" i="1"/>
  <c r="Q57" i="1"/>
  <c r="T56" i="1"/>
  <c r="AB56" i="1"/>
  <c r="S56" i="1"/>
  <c r="R56" i="1"/>
  <c r="Q56" i="1"/>
  <c r="T55" i="1"/>
  <c r="AB55" i="1"/>
  <c r="S55" i="1"/>
  <c r="R55" i="1"/>
  <c r="Q55" i="1"/>
  <c r="T54" i="1"/>
  <c r="AB54" i="1"/>
  <c r="S54" i="1"/>
  <c r="R54" i="1"/>
  <c r="Q54" i="1"/>
  <c r="T53" i="1"/>
  <c r="AB53" i="1"/>
  <c r="S53" i="1"/>
  <c r="R53" i="1"/>
  <c r="Q53" i="1"/>
  <c r="T52" i="1"/>
  <c r="AB52" i="1"/>
  <c r="S52" i="1"/>
  <c r="R52" i="1"/>
  <c r="Q52" i="1"/>
  <c r="T51" i="1"/>
  <c r="AB51" i="1"/>
  <c r="S51" i="1"/>
  <c r="R51" i="1"/>
  <c r="Q51" i="1"/>
  <c r="T50" i="1"/>
  <c r="AB50" i="1"/>
  <c r="S50" i="1"/>
  <c r="R50" i="1"/>
  <c r="Q50" i="1"/>
  <c r="T49" i="1"/>
  <c r="AB49" i="1"/>
  <c r="S49" i="1"/>
  <c r="R49" i="1"/>
  <c r="Q49" i="1"/>
  <c r="T48" i="1"/>
  <c r="AB48" i="1"/>
  <c r="S48" i="1"/>
  <c r="R48" i="1"/>
  <c r="Q48" i="1"/>
  <c r="T47" i="1"/>
  <c r="AB47" i="1"/>
  <c r="S47" i="1"/>
  <c r="R47" i="1"/>
  <c r="Q47" i="1"/>
  <c r="T46" i="1"/>
  <c r="AB46" i="1"/>
  <c r="S46" i="1"/>
  <c r="R46" i="1"/>
  <c r="Q46" i="1"/>
  <c r="T45" i="1"/>
  <c r="AB45" i="1"/>
  <c r="S45" i="1"/>
  <c r="R45" i="1"/>
  <c r="Q45" i="1"/>
  <c r="T44" i="1"/>
  <c r="AB44" i="1"/>
  <c r="S44" i="1"/>
  <c r="R44" i="1"/>
  <c r="Q44" i="1"/>
  <c r="T43" i="1"/>
  <c r="AB43" i="1"/>
  <c r="S43" i="1"/>
  <c r="R43" i="1"/>
  <c r="Q43" i="1"/>
  <c r="T42" i="1"/>
  <c r="AB42" i="1"/>
  <c r="S42" i="1"/>
  <c r="R42" i="1"/>
  <c r="Q42" i="1"/>
  <c r="T41" i="1"/>
  <c r="AB41" i="1"/>
  <c r="S41" i="1"/>
  <c r="R41" i="1"/>
  <c r="Q41" i="1"/>
  <c r="T40" i="1"/>
  <c r="AB40" i="1"/>
  <c r="S40" i="1"/>
  <c r="R40" i="1"/>
  <c r="Q40" i="1"/>
  <c r="T39" i="1"/>
  <c r="AB39" i="1"/>
  <c r="S39" i="1"/>
  <c r="R39" i="1"/>
  <c r="Q39" i="1"/>
  <c r="T38" i="1"/>
  <c r="AB38" i="1"/>
  <c r="S38" i="1"/>
  <c r="R38" i="1"/>
  <c r="Q38" i="1"/>
  <c r="T37" i="1"/>
  <c r="AB37" i="1"/>
  <c r="S37" i="1"/>
  <c r="R37" i="1"/>
  <c r="Q37" i="1"/>
  <c r="T36" i="1"/>
  <c r="AB36" i="1"/>
  <c r="S36" i="1"/>
  <c r="R36" i="1"/>
  <c r="Q36" i="1"/>
  <c r="T35" i="1"/>
  <c r="AB35" i="1"/>
  <c r="S35" i="1"/>
  <c r="R35" i="1"/>
  <c r="Q35" i="1"/>
  <c r="T34" i="1"/>
  <c r="AB34" i="1"/>
  <c r="S34" i="1"/>
  <c r="R34" i="1"/>
  <c r="Q34" i="1"/>
  <c r="T33" i="1"/>
  <c r="AB33" i="1"/>
  <c r="S33" i="1"/>
  <c r="R33" i="1"/>
  <c r="Q33" i="1"/>
  <c r="T32" i="1"/>
  <c r="AB32" i="1"/>
  <c r="S32" i="1"/>
  <c r="R32" i="1"/>
  <c r="Q32" i="1"/>
  <c r="T31" i="1"/>
  <c r="AB31" i="1"/>
  <c r="S31" i="1"/>
  <c r="R31" i="1"/>
  <c r="Q31" i="1"/>
  <c r="T30" i="1"/>
  <c r="AB30" i="1"/>
  <c r="S30" i="1"/>
  <c r="R30" i="1"/>
  <c r="Q30" i="1"/>
  <c r="T29" i="1"/>
  <c r="AB29" i="1"/>
  <c r="S29" i="1"/>
  <c r="R29" i="1"/>
  <c r="Q29" i="1"/>
  <c r="T28" i="1"/>
  <c r="AB28" i="1"/>
  <c r="S28" i="1"/>
  <c r="R28" i="1"/>
  <c r="Q28" i="1"/>
  <c r="T27" i="1"/>
  <c r="AB27" i="1"/>
  <c r="S27" i="1"/>
  <c r="R27" i="1"/>
  <c r="Q27" i="1"/>
  <c r="T26" i="1"/>
  <c r="AB26" i="1"/>
  <c r="S26" i="1"/>
  <c r="R26" i="1"/>
  <c r="Q26" i="1"/>
  <c r="T25" i="1"/>
  <c r="AB25" i="1"/>
  <c r="S25" i="1"/>
  <c r="R25" i="1"/>
  <c r="Q25" i="1"/>
  <c r="T24" i="1"/>
  <c r="AB24" i="1"/>
  <c r="S24" i="1"/>
  <c r="R24" i="1"/>
  <c r="Q24" i="1"/>
  <c r="T23" i="1"/>
  <c r="AB23" i="1"/>
  <c r="S23" i="1"/>
  <c r="R23" i="1"/>
  <c r="Q23" i="1"/>
  <c r="T22" i="1"/>
  <c r="AB22" i="1"/>
  <c r="S22" i="1"/>
  <c r="R22" i="1"/>
  <c r="Q22" i="1"/>
  <c r="T21" i="1"/>
  <c r="AB21" i="1"/>
  <c r="S21" i="1"/>
  <c r="R21" i="1"/>
  <c r="Q21" i="1"/>
  <c r="T20" i="1"/>
  <c r="AB20" i="1"/>
  <c r="S20" i="1"/>
  <c r="R20" i="1"/>
  <c r="Q20" i="1"/>
  <c r="T19" i="1"/>
  <c r="AB19" i="1"/>
  <c r="S19" i="1"/>
  <c r="R19" i="1"/>
  <c r="Q19" i="1"/>
  <c r="T18" i="1"/>
  <c r="AB18" i="1"/>
  <c r="S18" i="1"/>
  <c r="R18" i="1"/>
  <c r="Q18" i="1"/>
  <c r="T17" i="1"/>
  <c r="AB17" i="1"/>
  <c r="S17" i="1"/>
  <c r="R17" i="1"/>
  <c r="Q17" i="1"/>
  <c r="T16" i="1"/>
  <c r="AB16" i="1"/>
  <c r="S16" i="1"/>
  <c r="R16" i="1"/>
  <c r="Q16" i="1"/>
  <c r="T15" i="1"/>
  <c r="AB15" i="1"/>
  <c r="S15" i="1"/>
  <c r="R15" i="1"/>
  <c r="Q15" i="1"/>
  <c r="T14" i="1"/>
  <c r="AB14" i="1"/>
  <c r="S14" i="1"/>
  <c r="R14" i="1"/>
  <c r="Q14" i="1"/>
  <c r="T13" i="1"/>
  <c r="AB13" i="1"/>
  <c r="S13" i="1"/>
  <c r="R13" i="1"/>
  <c r="Q13" i="1"/>
  <c r="T12" i="1"/>
  <c r="AB12" i="1"/>
  <c r="S12" i="1"/>
  <c r="R12" i="1"/>
  <c r="Q12" i="1"/>
  <c r="T11" i="1"/>
  <c r="AB11" i="1"/>
  <c r="S11" i="1"/>
  <c r="R11" i="1"/>
  <c r="Q11" i="1"/>
  <c r="T10" i="1"/>
  <c r="AB10" i="1"/>
  <c r="S10" i="1"/>
  <c r="R10" i="1"/>
  <c r="Q10" i="1"/>
  <c r="T9" i="1"/>
  <c r="AB9" i="1"/>
  <c r="S9" i="1"/>
  <c r="R9" i="1"/>
  <c r="Q9" i="1"/>
  <c r="R8" i="1"/>
  <c r="Q8" i="1"/>
  <c r="T7" i="1"/>
  <c r="AB7" i="1"/>
  <c r="S7" i="1"/>
  <c r="R7" i="1"/>
  <c r="Q7" i="1"/>
  <c r="T6" i="1"/>
  <c r="AB6" i="1"/>
  <c r="S6" i="1"/>
  <c r="R6" i="1"/>
  <c r="Q6" i="1"/>
  <c r="T5" i="1"/>
  <c r="AB5" i="1"/>
  <c r="S5" i="1"/>
  <c r="R5" i="1"/>
  <c r="Q5" i="1"/>
  <c r="T4" i="1"/>
  <c r="AB4" i="1"/>
  <c r="S4" i="1"/>
  <c r="R4" i="1"/>
  <c r="Q4" i="1"/>
  <c r="AI40" i="12"/>
  <c r="AH41" i="12"/>
  <c r="Q34" i="12"/>
  <c r="T34" i="12"/>
  <c r="T33" i="12"/>
  <c r="R33" i="12"/>
  <c r="Q35" i="12"/>
  <c r="T35" i="12"/>
  <c r="P35" i="12"/>
  <c r="O35" i="12"/>
  <c r="B42" i="12"/>
  <c r="AJ41" i="12"/>
  <c r="AK41" i="12"/>
  <c r="AG41" i="12"/>
  <c r="AF42" i="12"/>
  <c r="AA42" i="12"/>
  <c r="X38" i="12"/>
  <c r="V37" i="12"/>
  <c r="S37" i="12"/>
  <c r="AJ40" i="12"/>
  <c r="AK40" i="12"/>
  <c r="F44" i="3"/>
  <c r="F46" i="3"/>
  <c r="B46" i="3"/>
  <c r="F45" i="3"/>
  <c r="B25" i="3"/>
  <c r="B39" i="3"/>
  <c r="E44" i="3"/>
  <c r="B44" i="3"/>
  <c r="E46" i="3"/>
  <c r="B45" i="3"/>
  <c r="E3" i="3"/>
  <c r="E7" i="3"/>
  <c r="G2" i="3"/>
  <c r="F25" i="3"/>
  <c r="F31" i="3"/>
  <c r="F28" i="3"/>
  <c r="F35" i="3"/>
  <c r="E35" i="3"/>
  <c r="F31" i="4"/>
  <c r="F30" i="4"/>
  <c r="AG42" i="12"/>
  <c r="V38" i="12"/>
  <c r="S38" i="12"/>
  <c r="X39" i="12"/>
  <c r="AI41" i="12"/>
  <c r="AH42" i="12"/>
  <c r="AI42" i="12"/>
  <c r="P37" i="12"/>
  <c r="O37" i="12"/>
  <c r="B44" i="12"/>
  <c r="Q37" i="12"/>
  <c r="T37" i="12"/>
  <c r="R34" i="12"/>
  <c r="U33" i="12"/>
  <c r="E6" i="3"/>
  <c r="E8" i="3"/>
  <c r="S66" i="2"/>
  <c r="P38" i="12"/>
  <c r="O38" i="12"/>
  <c r="B45" i="12"/>
  <c r="Q38" i="12"/>
  <c r="T38" i="12"/>
  <c r="U34" i="12"/>
  <c r="R35" i="12"/>
  <c r="X40" i="12"/>
  <c r="V39" i="12"/>
  <c r="S39" i="12"/>
  <c r="AJ42" i="12"/>
  <c r="AK42" i="12"/>
  <c r="AW19" i="2"/>
  <c r="AV19" i="2"/>
  <c r="AU19" i="2"/>
  <c r="AT19" i="2"/>
  <c r="AS19" i="2"/>
  <c r="AR19" i="2"/>
  <c r="AQ19" i="2"/>
  <c r="AP19" i="2"/>
  <c r="AO19" i="2"/>
  <c r="AN19" i="2"/>
  <c r="AM19" i="2"/>
  <c r="AL19" i="2"/>
  <c r="AK19" i="2"/>
  <c r="AJ19" i="2"/>
  <c r="AI19" i="2"/>
  <c r="AH19" i="2"/>
  <c r="AG19" i="2"/>
  <c r="AF19" i="2"/>
  <c r="AE19" i="2"/>
  <c r="AD19" i="2"/>
  <c r="AC19" i="2"/>
  <c r="AB19" i="2"/>
  <c r="AA19" i="2"/>
  <c r="Z19" i="2"/>
  <c r="Y19" i="2"/>
  <c r="X19" i="2"/>
  <c r="W19" i="2"/>
  <c r="V19" i="2"/>
  <c r="U19" i="2"/>
  <c r="T19" i="2"/>
  <c r="S19" i="2"/>
  <c r="AW42" i="2"/>
  <c r="AV42" i="2"/>
  <c r="AU42" i="2"/>
  <c r="AT42" i="2"/>
  <c r="AS42" i="2"/>
  <c r="AR42" i="2"/>
  <c r="AQ42" i="2"/>
  <c r="AP42" i="2"/>
  <c r="AO42" i="2"/>
  <c r="AN42" i="2"/>
  <c r="AM42" i="2"/>
  <c r="AL42" i="2"/>
  <c r="AK42" i="2"/>
  <c r="AJ42" i="2"/>
  <c r="AI42" i="2"/>
  <c r="AH42" i="2"/>
  <c r="AG42" i="2"/>
  <c r="AF42" i="2"/>
  <c r="AE42" i="2"/>
  <c r="AD42" i="2"/>
  <c r="AC42" i="2"/>
  <c r="AB42" i="2"/>
  <c r="AA42" i="2"/>
  <c r="Z42" i="2"/>
  <c r="Y42" i="2"/>
  <c r="X42" i="2"/>
  <c r="W42" i="2"/>
  <c r="V42" i="2"/>
  <c r="U42" i="2"/>
  <c r="T42" i="2"/>
  <c r="AW41" i="2"/>
  <c r="AV41" i="2"/>
  <c r="AU41" i="2"/>
  <c r="AT41" i="2"/>
  <c r="AS41" i="2"/>
  <c r="AR41" i="2"/>
  <c r="AQ41" i="2"/>
  <c r="AP41" i="2"/>
  <c r="AO41" i="2"/>
  <c r="AN41" i="2"/>
  <c r="AM41" i="2"/>
  <c r="AL41" i="2"/>
  <c r="AK41" i="2"/>
  <c r="AJ41" i="2"/>
  <c r="AI41" i="2"/>
  <c r="AH41" i="2"/>
  <c r="AG41" i="2"/>
  <c r="AF41" i="2"/>
  <c r="AE41" i="2"/>
  <c r="AD41" i="2"/>
  <c r="AC41" i="2"/>
  <c r="AB41" i="2"/>
  <c r="AA41" i="2"/>
  <c r="Z41" i="2"/>
  <c r="Y41" i="2"/>
  <c r="X41" i="2"/>
  <c r="W41" i="2"/>
  <c r="V41" i="2"/>
  <c r="U41" i="2"/>
  <c r="T41" i="2"/>
  <c r="U35" i="12"/>
  <c r="R37" i="12"/>
  <c r="Q39" i="12"/>
  <c r="T39" i="12"/>
  <c r="P39" i="12"/>
  <c r="O39" i="12"/>
  <c r="B46" i="12"/>
  <c r="V40" i="12"/>
  <c r="S40" i="12"/>
  <c r="X41" i="12"/>
  <c r="F9" i="4"/>
  <c r="G15" i="3"/>
  <c r="E9" i="4"/>
  <c r="D9" i="4"/>
  <c r="E15" i="3"/>
  <c r="F15" i="3"/>
  <c r="AT66" i="2"/>
  <c r="AQ66" i="2"/>
  <c r="AN66" i="2"/>
  <c r="AK66" i="2"/>
  <c r="AH66" i="2"/>
  <c r="AE66" i="2"/>
  <c r="AB66" i="2"/>
  <c r="Y66" i="2"/>
  <c r="V66" i="2"/>
  <c r="AT71" i="2"/>
  <c r="AQ71" i="2"/>
  <c r="AN71" i="2"/>
  <c r="AK71" i="2"/>
  <c r="AH71" i="2"/>
  <c r="AE71" i="2"/>
  <c r="AB71" i="2"/>
  <c r="Y71" i="2"/>
  <c r="V71" i="2"/>
  <c r="AW12" i="2"/>
  <c r="AV12" i="2"/>
  <c r="AU12" i="2"/>
  <c r="AT12" i="2"/>
  <c r="AS12" i="2"/>
  <c r="AR12" i="2"/>
  <c r="AQ12" i="2"/>
  <c r="AP12" i="2"/>
  <c r="AO12" i="2"/>
  <c r="AN12" i="2"/>
  <c r="AM12" i="2"/>
  <c r="AL12" i="2"/>
  <c r="AK12" i="2"/>
  <c r="AJ12" i="2"/>
  <c r="AI12" i="2"/>
  <c r="AH12" i="2"/>
  <c r="AG12" i="2"/>
  <c r="AF12" i="2"/>
  <c r="AE12" i="2"/>
  <c r="AD12" i="2"/>
  <c r="AC12" i="2"/>
  <c r="AB12" i="2"/>
  <c r="AA12" i="2"/>
  <c r="Z12" i="2"/>
  <c r="Y12" i="2"/>
  <c r="X12" i="2"/>
  <c r="W12" i="2"/>
  <c r="V12" i="2"/>
  <c r="U12" i="2"/>
  <c r="T12" i="2"/>
  <c r="S42" i="2"/>
  <c r="S41" i="2"/>
  <c r="AW37" i="2"/>
  <c r="AV37" i="2"/>
  <c r="AU37" i="2"/>
  <c r="AT37" i="2"/>
  <c r="AS37" i="2"/>
  <c r="AR37" i="2"/>
  <c r="AQ37" i="2"/>
  <c r="AP37" i="2"/>
  <c r="AO37" i="2"/>
  <c r="AN37" i="2"/>
  <c r="AM37" i="2"/>
  <c r="AL37" i="2"/>
  <c r="AK37" i="2"/>
  <c r="AJ37" i="2"/>
  <c r="AI37" i="2"/>
  <c r="AH37" i="2"/>
  <c r="AG37" i="2"/>
  <c r="AF37" i="2"/>
  <c r="AE37" i="2"/>
  <c r="AD37" i="2"/>
  <c r="AC37" i="2"/>
  <c r="AB37" i="2"/>
  <c r="AA37" i="2"/>
  <c r="Z37" i="2"/>
  <c r="Y37" i="2"/>
  <c r="X37" i="2"/>
  <c r="W37" i="2"/>
  <c r="V37" i="2"/>
  <c r="U37" i="2"/>
  <c r="T37" i="2"/>
  <c r="AW36" i="2"/>
  <c r="AV36" i="2"/>
  <c r="AU36" i="2"/>
  <c r="AT36" i="2"/>
  <c r="AS36" i="2"/>
  <c r="AR36" i="2"/>
  <c r="AQ36" i="2"/>
  <c r="AP36" i="2"/>
  <c r="AO36" i="2"/>
  <c r="AN36" i="2"/>
  <c r="AM36" i="2"/>
  <c r="AL36" i="2"/>
  <c r="AK36" i="2"/>
  <c r="AJ36" i="2"/>
  <c r="AI36" i="2"/>
  <c r="AH36" i="2"/>
  <c r="AG36" i="2"/>
  <c r="AF36" i="2"/>
  <c r="AE36" i="2"/>
  <c r="AD36" i="2"/>
  <c r="AC36" i="2"/>
  <c r="AB36" i="2"/>
  <c r="AA36" i="2"/>
  <c r="Z36" i="2"/>
  <c r="Y36" i="2"/>
  <c r="X36" i="2"/>
  <c r="W36" i="2"/>
  <c r="V36" i="2"/>
  <c r="U36" i="2"/>
  <c r="T36" i="2"/>
  <c r="S36" i="2"/>
  <c r="Q40" i="12"/>
  <c r="T40" i="12"/>
  <c r="P40" i="12"/>
  <c r="O40" i="12"/>
  <c r="B47" i="12"/>
  <c r="U37" i="12"/>
  <c r="R38" i="12"/>
  <c r="V41" i="12"/>
  <c r="S41" i="12"/>
  <c r="X42" i="12"/>
  <c r="V42" i="12"/>
  <c r="S42" i="12"/>
  <c r="AQ26" i="2"/>
  <c r="AH21" i="2"/>
  <c r="AH26" i="2"/>
  <c r="AE21" i="2"/>
  <c r="AE26" i="2"/>
  <c r="U21" i="2"/>
  <c r="U28" i="2"/>
  <c r="AF21" i="2"/>
  <c r="AF26" i="2"/>
  <c r="AG21" i="2"/>
  <c r="AG26" i="2"/>
  <c r="T21" i="2"/>
  <c r="T28" i="2"/>
  <c r="AI26" i="2"/>
  <c r="X22" i="2"/>
  <c r="X26" i="2"/>
  <c r="AR26" i="2"/>
  <c r="AT29" i="2"/>
  <c r="AV22" i="2"/>
  <c r="AV29" i="2"/>
  <c r="W28" i="2"/>
  <c r="AD26" i="2"/>
  <c r="AS26" i="2"/>
  <c r="AU21" i="2"/>
  <c r="AU28" i="2"/>
  <c r="V28" i="2"/>
  <c r="G14" i="3"/>
  <c r="E29" i="3"/>
  <c r="AP21" i="2"/>
  <c r="AQ21" i="2"/>
  <c r="AS21" i="2"/>
  <c r="F14" i="3"/>
  <c r="V21" i="2"/>
  <c r="AR21" i="2"/>
  <c r="AT21" i="2"/>
  <c r="U26" i="2"/>
  <c r="AT65" i="2"/>
  <c r="AT83" i="2"/>
  <c r="Y65" i="2"/>
  <c r="Y83" i="2"/>
  <c r="AK65" i="2"/>
  <c r="AK83" i="2"/>
  <c r="AE65" i="2"/>
  <c r="AE83" i="2"/>
  <c r="AQ65" i="2"/>
  <c r="AQ83" i="2"/>
  <c r="W21" i="2"/>
  <c r="V65" i="2"/>
  <c r="V83" i="2"/>
  <c r="AI21" i="2"/>
  <c r="AD21" i="2"/>
  <c r="AB65" i="2"/>
  <c r="AB83" i="2"/>
  <c r="AN65" i="2"/>
  <c r="AN83" i="2"/>
  <c r="AH65" i="2"/>
  <c r="AH83" i="2"/>
  <c r="AJ29" i="2"/>
  <c r="AJ28" i="2"/>
  <c r="AJ22" i="2"/>
  <c r="Y28" i="2"/>
  <c r="Y29" i="2"/>
  <c r="AK28" i="2"/>
  <c r="AK29" i="2"/>
  <c r="AW28" i="2"/>
  <c r="AW29" i="2"/>
  <c r="Y22" i="2"/>
  <c r="AK22" i="2"/>
  <c r="AW22" i="2"/>
  <c r="Z28" i="2"/>
  <c r="Z29" i="2"/>
  <c r="AL28" i="2"/>
  <c r="AL29" i="2"/>
  <c r="Z22" i="2"/>
  <c r="AL22" i="2"/>
  <c r="AA29" i="2"/>
  <c r="AA28" i="2"/>
  <c r="AM29" i="2"/>
  <c r="AM28" i="2"/>
  <c r="AA22" i="2"/>
  <c r="AM22" i="2"/>
  <c r="AB29" i="2"/>
  <c r="AB28" i="2"/>
  <c r="AN29" i="2"/>
  <c r="AN28" i="2"/>
  <c r="AB22" i="2"/>
  <c r="AN22" i="2"/>
  <c r="AC29" i="2"/>
  <c r="AC28" i="2"/>
  <c r="AO28" i="2"/>
  <c r="AO29" i="2"/>
  <c r="AC22" i="2"/>
  <c r="AO22" i="2"/>
  <c r="X21" i="2"/>
  <c r="AJ21" i="2"/>
  <c r="AV21" i="2"/>
  <c r="AD22" i="2"/>
  <c r="AP22" i="2"/>
  <c r="AJ26" i="2"/>
  <c r="AE28" i="2"/>
  <c r="AE29" i="2"/>
  <c r="AQ28" i="2"/>
  <c r="AQ29" i="2"/>
  <c r="Y21" i="2"/>
  <c r="AK21" i="2"/>
  <c r="AW21" i="2"/>
  <c r="AE22" i="2"/>
  <c r="AQ22" i="2"/>
  <c r="Y26" i="2"/>
  <c r="AK26" i="2"/>
  <c r="AW26" i="2"/>
  <c r="AR29" i="2"/>
  <c r="AR28" i="2"/>
  <c r="Z21" i="2"/>
  <c r="AL21" i="2"/>
  <c r="T22" i="2"/>
  <c r="AF22" i="2"/>
  <c r="AR22" i="2"/>
  <c r="Z26" i="2"/>
  <c r="AL26" i="2"/>
  <c r="AA21" i="2"/>
  <c r="AM21" i="2"/>
  <c r="U22" i="2"/>
  <c r="AG22" i="2"/>
  <c r="AS22" i="2"/>
  <c r="AA26" i="2"/>
  <c r="AM26" i="2"/>
  <c r="AH28" i="2"/>
  <c r="AB21" i="2"/>
  <c r="AN21" i="2"/>
  <c r="V22" i="2"/>
  <c r="AH22" i="2"/>
  <c r="AT22" i="2"/>
  <c r="AB26" i="2"/>
  <c r="AN26" i="2"/>
  <c r="AC21" i="2"/>
  <c r="AO21" i="2"/>
  <c r="W22" i="2"/>
  <c r="AI22" i="2"/>
  <c r="AU22" i="2"/>
  <c r="AC26" i="2"/>
  <c r="AO26" i="2"/>
  <c r="F29" i="3"/>
  <c r="E13" i="3"/>
  <c r="F13" i="3"/>
  <c r="Q41" i="12"/>
  <c r="T41" i="12"/>
  <c r="P41" i="12"/>
  <c r="O41" i="12"/>
  <c r="B48" i="12"/>
  <c r="Q42" i="12"/>
  <c r="T42" i="12"/>
  <c r="P42" i="12"/>
  <c r="O42" i="12"/>
  <c r="B49" i="12"/>
  <c r="U38" i="12"/>
  <c r="R39" i="12"/>
  <c r="X29" i="2"/>
  <c r="X28" i="2"/>
  <c r="AS28" i="2"/>
  <c r="AS29" i="2"/>
  <c r="AD28" i="2"/>
  <c r="AT28" i="2"/>
  <c r="AI28" i="2"/>
  <c r="AD29" i="2"/>
  <c r="F26" i="3"/>
  <c r="AH29" i="2"/>
  <c r="AU26" i="2"/>
  <c r="E26" i="3"/>
  <c r="AU29" i="2"/>
  <c r="V29" i="2"/>
  <c r="AI29" i="2"/>
  <c r="AV28" i="2"/>
  <c r="AG29" i="2"/>
  <c r="T26" i="2"/>
  <c r="V26" i="2"/>
  <c r="AV26" i="2"/>
  <c r="AF28" i="2"/>
  <c r="AT26" i="2"/>
  <c r="T29" i="2"/>
  <c r="U29" i="2"/>
  <c r="W26" i="2"/>
  <c r="AF29" i="2"/>
  <c r="AG28" i="2"/>
  <c r="AP26" i="2"/>
  <c r="AP28" i="2"/>
  <c r="AP29" i="2"/>
  <c r="W29" i="2"/>
  <c r="S37" i="2"/>
  <c r="S71" i="2"/>
  <c r="S65" i="2"/>
  <c r="S83" i="2"/>
  <c r="S12" i="2"/>
  <c r="U39" i="12"/>
  <c r="R40" i="12"/>
  <c r="E14" i="3"/>
  <c r="S21" i="2"/>
  <c r="S29" i="2"/>
  <c r="S28" i="2"/>
  <c r="S26" i="2"/>
  <c r="S22" i="2"/>
  <c r="U40" i="12"/>
  <c r="R41" i="12"/>
  <c r="D2" i="1"/>
  <c r="C4" i="6"/>
  <c r="U41" i="12"/>
  <c r="R42" i="12"/>
  <c r="U42" i="12"/>
  <c r="A64" i="1"/>
  <c r="A56" i="1"/>
  <c r="A48" i="1"/>
  <c r="A40" i="1"/>
  <c r="A32" i="1"/>
  <c r="A24" i="1"/>
  <c r="A16" i="1"/>
  <c r="A8" i="1"/>
  <c r="A63" i="1"/>
  <c r="A55" i="1"/>
  <c r="A47" i="1"/>
  <c r="A39" i="1"/>
  <c r="A31" i="1"/>
  <c r="A23" i="1"/>
  <c r="A15" i="1"/>
  <c r="A7" i="1"/>
  <c r="A62" i="1"/>
  <c r="A52" i="1"/>
  <c r="A42" i="1"/>
  <c r="A30" i="1"/>
  <c r="A20" i="1"/>
  <c r="A10" i="1"/>
  <c r="A61" i="1"/>
  <c r="A51" i="1"/>
  <c r="A41" i="1"/>
  <c r="A29" i="1"/>
  <c r="A19" i="1"/>
  <c r="A9" i="1"/>
  <c r="A70" i="1"/>
  <c r="A60" i="1"/>
  <c r="A50" i="1"/>
  <c r="A38" i="1"/>
  <c r="A28" i="1"/>
  <c r="A18" i="1"/>
  <c r="A6" i="1"/>
  <c r="A69" i="1"/>
  <c r="A59" i="1"/>
  <c r="A49" i="1"/>
  <c r="A37" i="1"/>
  <c r="A27" i="1"/>
  <c r="A17" i="1"/>
  <c r="A5" i="1"/>
  <c r="A68" i="1"/>
  <c r="A58" i="1"/>
  <c r="A46" i="1"/>
  <c r="A36" i="1"/>
  <c r="A26" i="1"/>
  <c r="A14" i="1"/>
  <c r="A4" i="1"/>
  <c r="A67" i="1"/>
  <c r="A57" i="1"/>
  <c r="A45" i="1"/>
  <c r="A35" i="1"/>
  <c r="A25" i="1"/>
  <c r="A13" i="1"/>
  <c r="A66" i="1"/>
  <c r="A54" i="1"/>
  <c r="A44" i="1"/>
  <c r="A34" i="1"/>
  <c r="A22" i="1"/>
  <c r="A12" i="1"/>
  <c r="A65" i="1"/>
  <c r="A53" i="1"/>
  <c r="A43" i="1"/>
  <c r="A33" i="1"/>
  <c r="A21" i="1"/>
  <c r="A11" i="1"/>
  <c r="C10" i="6"/>
  <c r="F6" i="3"/>
  <c r="F32" i="4"/>
  <c r="E9" i="3"/>
  <c r="E10" i="3"/>
  <c r="G6" i="3"/>
  <c r="F32" i="3"/>
  <c r="E3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tc={6095D124-D77B-492D-857E-53A54C8DCCE8}</author>
    <author>tc={0F1E5F70-E5E5-4C8C-A583-426E61B41ED4}</author>
  </authors>
  <commentList>
    <comment ref="Y1" authorId="0" shapeId="0" xr:uid="{6095D124-D77B-492D-857E-53A54C8DCCE8}">
      <text>
        <t>[Threaded comment]
Your version of Excel allows you to read this threaded comment; however, any edits to it will get removed if the file is opened in a newer version of Excel. Learn more: https://go.microsoft.com/fwlink/?linkid=870924
Comment:
    Added for validation check</t>
      </text>
    </comment>
    <comment ref="AA1" authorId="1" shapeId="0" xr:uid="{0F1E5F70-E5E5-4C8C-A583-426E61B41ED4}">
      <text>
        <t>[Threaded comment]
Your version of Excel allows you to read this threaded comment; however, any edits to it will get removed if the file is opened in a newer version of Excel. Learn more: https://go.microsoft.com/fwlink/?linkid=870924
Comment:
    Added for migrations impact on headline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tc={AB13D248-81B8-4389-AAE0-A8F1787087CC}</author>
    <author>tc={DCBAEF60-AFFA-4CC8-AFF1-9A450C0EAD2A}</author>
    <author>tc={977144A4-A0C2-4D81-9B4A-CB6EB10663C6}</author>
    <author>tc={85AEFA5E-0A7E-4CAF-ABFE-82C9ACFC5621}</author>
    <author>tc={52BEEF18-A6A8-4F40-B105-C3CB8D36DE01}</author>
    <author>tc={A1E0B30D-EA70-44E6-8221-9D194438228C}</author>
    <author>tc={E0F0F72D-E9D6-44CB-B7ED-17B0596C20C1}</author>
    <author>tc={35C46CD0-6C73-4EEF-883E-4C450BD802C7}</author>
    <author>tc={D963610F-C09D-46E4-905B-CC89A4429DB1}</author>
    <author>tc={B966810A-F00D-4F0C-A353-DDC9C8401E5F}</author>
    <author>tc={286A55AE-48A0-418E-B897-B8312D99CA85}</author>
    <author>tc={9C690693-8F17-4B38-886F-4CE29C6EA684}</author>
  </authors>
  <commentList>
    <comment ref="Q25" authorId="0" shapeId="0" xr:uid="{AB13D248-81B8-4389-AAE0-A8F1787087CC}">
      <text>
        <t>[Threaded comment]
Your version of Excel allows you to read this threaded comment; however, any edits to it will get removed if the file is opened in a newer version of Excel. Learn more: https://go.microsoft.com/fwlink/?linkid=870924
Comment:
    Proportionally spread premium revenue change between H and GT</t>
      </text>
    </comment>
    <comment ref="S25" authorId="1" shapeId="0" xr:uid="{DCBAEF60-AFFA-4CC8-AFF1-9A450C0EAD2A}">
      <text>
        <t>[Threaded comment]
Your version of Excel allows you to read this threaded comment; however, any edits to it will get removed if the file is opened in a newer version of Excel. Learn more: https://go.microsoft.com/fwlink/?linkid=870924
Comment:
    Implied total premium revenue required to achieve fixed margin</t>
      </text>
    </comment>
    <comment ref="V25" authorId="2" shapeId="0" xr:uid="{977144A4-A0C2-4D81-9B4A-CB6EB10663C6}">
      <text>
        <t>[Threaded comment]
Your version of Excel allows you to read this threaded comment; however, any edits to it will get removed if the file is opened in a newer version of Excel. Learn more: https://go.microsoft.com/fwlink/?linkid=870924
Comment:
    Required GM% under new expense ratio</t>
      </text>
    </comment>
    <comment ref="AP25" authorId="3" shapeId="0" xr:uid="{85AEFA5E-0A7E-4CAF-ABFE-82C9ACFC5621}">
      <text>
        <t>[Threaded comment]
Your version of Excel allows you to read this threaded comment; however, any edits to it will get removed if the file is opened in a newer version of Excel. Learn more: https://go.microsoft.com/fwlink/?linkid=870924
Comment:
    Using Template B aggregate % hospital to calculate split for combined.</t>
      </text>
    </comment>
    <comment ref="AQ25" authorId="4" shapeId="0" xr:uid="{52BEEF18-A6A8-4F40-B105-C3CB8D36DE01}">
      <text>
        <t>[Threaded comment]
Your version of Excel allows you to read this threaded comment; however, any edits to it will get removed if the file is opened in a newer version of Excel. Learn more: https://go.microsoft.com/fwlink/?linkid=870924
Comment:
    Total combined products annualised revenue</t>
      </text>
    </comment>
    <comment ref="Q37" authorId="5" shapeId="0" xr:uid="{A1E0B30D-EA70-44E6-8221-9D194438228C}">
      <text>
        <t>[Threaded comment]
Your version of Excel allows you to read this threaded comment; however, any edits to it will get removed if the file is opened in a newer version of Excel. Learn more: https://go.microsoft.com/fwlink/?linkid=870924
Comment:
    Proportionally spread premium revenue change between H and GT</t>
      </text>
    </comment>
    <comment ref="S37" authorId="6" shapeId="0" xr:uid="{E0F0F72D-E9D6-44CB-B7ED-17B0596C20C1}">
      <text>
        <t>[Threaded comment]
Your version of Excel allows you to read this threaded comment; however, any edits to it will get removed if the file is opened in a newer version of Excel. Learn more: https://go.microsoft.com/fwlink/?linkid=870924
Comment:
    Implied total premium revenue required to achieve fixed margin</t>
      </text>
    </comment>
    <comment ref="AO41" authorId="7" shapeId="0" xr:uid="{35C46CD0-6C73-4EEF-883E-4C450BD802C7}">
      <text>
        <t>[Threaded comment]
Your version of Excel allows you to read this threaded comment; however, any edits to it will get removed if the file is opened in a newer version of Excel. Learn more: https://go.microsoft.com/fwlink/?linkid=870924
Comment:
    Notional increase such that premium increase differential between combined product hospital and general components is consistent with non-combined hospital and general treatment premium increase differential.
Requires there to be hospital and general treatment products.</t>
      </text>
    </comment>
    <comment ref="AP41" authorId="8" shapeId="0" xr:uid="{D963610F-C09D-46E4-905B-CC89A4429DB1}">
      <text>
        <t>[Threaded comment]
Your version of Excel allows you to read this threaded comment; however, any edits to it will get removed if the file is opened in a newer version of Excel. Learn more: https://go.microsoft.com/fwlink/?linkid=870924
Comment:
    Notional increase such that premium increase differential between combined product hospital and general components is consistent with non-combined hospital and general treatment premium increase differential.
Requires there to be hospital and general treatment products.</t>
      </text>
    </comment>
    <comment ref="O55" authorId="9" shapeId="0" xr:uid="{B966810A-F00D-4F0C-A353-DDC9C8401E5F}">
      <text>
        <t>[Threaded comment]
Your version of Excel allows you to read this threaded comment; however, any edits to it will get removed if the file is opened in a newer version of Excel. Learn more: https://go.microsoft.com/fwlink/?linkid=870924
Comment:
    PY25/26 Net benefits = Avg PY25/26 premium x (PY25/26 LY loss ratio)</t>
      </text>
    </comment>
    <comment ref="O56" authorId="10" shapeId="0" xr:uid="{286A55AE-48A0-418E-B897-B8312D99CA85}">
      <text>
        <t>[Threaded comment]
Your version of Excel allows you to read this threaded comment; however, any edits to it will get removed if the file is opened in a newer version of Excel. Learn more: https://go.microsoft.com/fwlink/?linkid=870924
Comment:
    PY25/26 Net benefits = Avg PY25/26 premium x (PY25/26 latest loss ratio - PY25/26 latest PL impact + PY25/26 LY assumed PL impact)</t>
      </text>
    </comment>
    <comment ref="O57" authorId="11" shapeId="0" xr:uid="{9C690693-8F17-4B38-886F-4CE29C6EA684}">
      <text>
        <t>[Threaded comment]
Your version of Excel allows you to read this threaded comment; however, any edits to it will get removed if the file is opened in a newer version of Excel. Learn more: https://go.microsoft.com/fwlink/?linkid=870924
Comment:
    PY26/27 Net benefits = Avg PY25/26 premium x (1+avg premium increase) x (PY26/27 latest loss ratio - PY26/27 latest PL impact + PY25/26 LY assumed PL impact)</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<sst xmlns="http://schemas.openxmlformats.org/spreadsheetml/2006/main" count="827" uniqueCount="431">
  <si>
    <t>Product coverage</t>
  </si>
  <si>
    <t>Insurer Name:</t>
  </si>
  <si>
    <t xml:space="preserve">Automatically calculated </t>
  </si>
  <si>
    <t>Insurer</t>
  </si>
  <si>
    <t>State</t>
  </si>
  <si>
    <t>Product Code 
(PHIS id)</t>
  </si>
  <si>
    <t>Insured group</t>
  </si>
  <si>
    <t>Average age-based discount conversion factor net change</t>
  </si>
  <si>
    <t>MLS threshold check</t>
  </si>
  <si>
    <t>NSW / ACT</t>
  </si>
  <si>
    <t>Open - Existing</t>
  </si>
  <si>
    <t>Hospital</t>
  </si>
  <si>
    <t>Gold</t>
  </si>
  <si>
    <t>Single</t>
  </si>
  <si>
    <t>Terminating</t>
  </si>
  <si>
    <t>Silver Plus</t>
  </si>
  <si>
    <t>Combined</t>
  </si>
  <si>
    <t>General</t>
  </si>
  <si>
    <t>(month end)</t>
  </si>
  <si>
    <t>Actual</t>
  </si>
  <si>
    <t>Actual/Forecast</t>
  </si>
  <si>
    <t>Forecast</t>
  </si>
  <si>
    <t>$000</t>
  </si>
  <si>
    <t>Insurance performance - APRA basis (HRS 101.0)</t>
  </si>
  <si>
    <t>Health Insurance Business (HIB)</t>
  </si>
  <si>
    <t>HIB Premium Revenue</t>
  </si>
  <si>
    <t>Hospital Treatment</t>
  </si>
  <si>
    <t>General Treatment</t>
  </si>
  <si>
    <t>Total HIB Premium Revenue</t>
  </si>
  <si>
    <t>HIB Insurance Claims</t>
  </si>
  <si>
    <t>Claims Incurred - Hospital Treatment</t>
  </si>
  <si>
    <t>Claims Incurred - General Treatment</t>
  </si>
  <si>
    <t>Net Risk Equalisation Special Account Amount</t>
  </si>
  <si>
    <t>State Ambulance Levies</t>
  </si>
  <si>
    <t>Total HIB Insurance Claims</t>
  </si>
  <si>
    <t>Gross Margin $</t>
  </si>
  <si>
    <t>Gross Margin %</t>
  </si>
  <si>
    <t>Other Insurance Business Expenses - HIB</t>
  </si>
  <si>
    <t>Expense Ratio %</t>
  </si>
  <si>
    <t>Net Margin $</t>
  </si>
  <si>
    <t>Net Margin %</t>
  </si>
  <si>
    <t>Health-Related Insurance Business (HRIB)</t>
  </si>
  <si>
    <t>Gross of reinsurance HRIB Premium Revenue</t>
  </si>
  <si>
    <t>HRIB Premium Revenue</t>
  </si>
  <si>
    <t>HRIB Insurance Claims</t>
  </si>
  <si>
    <t>Other Insurance Business Expenses - HRIB</t>
  </si>
  <si>
    <t>Other</t>
  </si>
  <si>
    <t>Net Other Operational Revenue (Include Health-Related Business Non-Insurance)</t>
  </si>
  <si>
    <t>Investment Income Amount</t>
  </si>
  <si>
    <t>Gains/Losses On Investments Amount</t>
  </si>
  <si>
    <t>Hospital SEUs (at months end)</t>
  </si>
  <si>
    <t>General treatment SEUs excluding Hospital-Substitute, CDMP and Hospital-linked Ambulance Treatment (at months end)</t>
  </si>
  <si>
    <t>Balance Sheet - APRA basis</t>
  </si>
  <si>
    <t>Total Assets (Excluding DTAs, Total Intangible Assets And Goodwill, And AASB 17 Insurance And Reinsurance Contracts Assets)</t>
  </si>
  <si>
    <t>Capital Standards</t>
  </si>
  <si>
    <t>HPS 340 Insurance Liabilities</t>
  </si>
  <si>
    <t>Outstanding Claims Liability At 75th Probability Of Adequacy</t>
  </si>
  <si>
    <t>Premiums Liability At 75th Probability Of Adequacy (HIB)</t>
  </si>
  <si>
    <t>Premiums Liability At 75th Probability Of Adequacy (HRIB)</t>
  </si>
  <si>
    <t>Risk Equalisation Transfers At 75th Probability Of Adequacy</t>
  </si>
  <si>
    <t>Individual Other Insurance Liability At 75th Probability Of Adequacy</t>
  </si>
  <si>
    <t>Deferred Claims Liability At 75th Probability Of Adequacy</t>
  </si>
  <si>
    <t>Prescribed Capital Amount</t>
  </si>
  <si>
    <t>Insurance Risk Charge</t>
  </si>
  <si>
    <t xml:space="preserve">  Insurance Liability Risk Charge</t>
  </si>
  <si>
    <t xml:space="preserve">    Outstanding Claims Liabilities Risk Charge</t>
  </si>
  <si>
    <t xml:space="preserve">    Premiums Liabilities Risk Charge</t>
  </si>
  <si>
    <t xml:space="preserve">    Risk Equalisation Risk Charge</t>
  </si>
  <si>
    <t xml:space="preserve">    Other Insurance Liabilities Risk Charge</t>
  </si>
  <si>
    <t xml:space="preserve">  Future Exposure Risk Charge</t>
  </si>
  <si>
    <t xml:space="preserve">    Future Exposure Risk Charge (HIB)</t>
  </si>
  <si>
    <t xml:space="preserve">    Future Exposure Risk Charge (HRIB)</t>
  </si>
  <si>
    <t xml:space="preserve">  Deferred Claims Liability Risk Charge</t>
  </si>
  <si>
    <t>Asset Risk Charge</t>
  </si>
  <si>
    <t>Asset Concentration Risk Charge</t>
  </si>
  <si>
    <t>Operational Risk Charge</t>
  </si>
  <si>
    <t>Aggregation Benefit</t>
  </si>
  <si>
    <t>Tax Benefits</t>
  </si>
  <si>
    <t>Adjustments To Prescribed Capital Amount As Approved By APRA</t>
  </si>
  <si>
    <t>Capital Base and Target Capital</t>
  </si>
  <si>
    <t>Capital Base</t>
  </si>
  <si>
    <t>Dividends Declared Or Paid</t>
  </si>
  <si>
    <t>Retained Earnings Movements Other Than Profit / Loss After Tax And Dividends Declared Or Paid</t>
  </si>
  <si>
    <t>Share Capital Injections</t>
  </si>
  <si>
    <t>Share Capital Movements Other Than Share Capital Injections</t>
  </si>
  <si>
    <t>Target Capital - upper bound</t>
  </si>
  <si>
    <t>Target Capital - lower bound</t>
  </si>
  <si>
    <t>Insurer Information</t>
  </si>
  <si>
    <t>Proposed Premium Rate Change</t>
  </si>
  <si>
    <t>Insurer Name</t>
  </si>
  <si>
    <t>Select Insurer</t>
  </si>
  <si>
    <t>Rate Change Excluding Rate Protection (%) for the year</t>
  </si>
  <si>
    <t>Abbreviation</t>
  </si>
  <si>
    <t>Rate Protection Conversion Factor (%)*</t>
  </si>
  <si>
    <t>"Profit" or "Not-for-Profit"</t>
  </si>
  <si>
    <t>*Conversion Factor (%) converts Excluding Rate Protection(%) into Including Rate Protection (%).</t>
  </si>
  <si>
    <t>"Restricted" or "Open"</t>
  </si>
  <si>
    <t>Rate Change Including Rate Protection (%) for the year</t>
  </si>
  <si>
    <t>**Age Based Conversion Factor (%) calculates impact of Age Based Discounts on forecast HIB Premium Revenue</t>
  </si>
  <si>
    <t>Rate Change Including Age Based Conversion Factor and Rate Protection **</t>
  </si>
  <si>
    <t>**Dependents Reform Impact Conversion Factor (%) calculates impact of Dependent Reforms on forecast HIB Premium Revenue</t>
  </si>
  <si>
    <t>Rate Change Including Age Based Conversion Factor, Dependents reform impact and Rate Protection</t>
  </si>
  <si>
    <t>Year commencing</t>
  </si>
  <si>
    <t>Hospital SEUs (as at end of year)</t>
  </si>
  <si>
    <t>Total HIB Premium Revenue ($'000 for the year)</t>
  </si>
  <si>
    <t>Total HIB Insurance Claims ($'000 for the year)</t>
  </si>
  <si>
    <t>Lifetime Health Cover Loading Revenue ($'000 for the year)</t>
  </si>
  <si>
    <t>By State</t>
  </si>
  <si>
    <r>
      <t xml:space="preserve">Net Margins </t>
    </r>
    <r>
      <rPr>
        <b/>
        <i/>
        <sz val="10"/>
        <rFont val="Arial Narrow"/>
        <family val="2"/>
      </rPr>
      <t>(for the 12 months from)</t>
    </r>
  </si>
  <si>
    <t>VIC</t>
  </si>
  <si>
    <t>QLD</t>
  </si>
  <si>
    <t>SA</t>
  </si>
  <si>
    <t>Proportion of total HIB Premium Revenue used to pay HIB Insurance Claims</t>
  </si>
  <si>
    <t>WA</t>
  </si>
  <si>
    <t>TAS</t>
  </si>
  <si>
    <t>NT</t>
  </si>
  <si>
    <r>
      <t xml:space="preserve">Proportion of forecast Dividends to forecast HIB Premium Revenue </t>
    </r>
    <r>
      <rPr>
        <i/>
        <sz val="10"/>
        <rFont val="Arial Narrow"/>
        <family val="2"/>
      </rPr>
      <t>(for the 12 months from)</t>
    </r>
  </si>
  <si>
    <t>By Insured Group</t>
  </si>
  <si>
    <t>ChildrenOnly</t>
  </si>
  <si>
    <t>Premium Product Rate Change Range</t>
  </si>
  <si>
    <t>Minimum</t>
  </si>
  <si>
    <t>Maximum</t>
  </si>
  <si>
    <t>Couple</t>
  </si>
  <si>
    <t>ExtendedFamily</t>
  </si>
  <si>
    <t>ExtendedSingleParentFamily</t>
  </si>
  <si>
    <t>Family</t>
  </si>
  <si>
    <t>SingleParentFamily</t>
  </si>
  <si>
    <t>3+Adults</t>
  </si>
  <si>
    <t>By Product Coverage</t>
  </si>
  <si>
    <t>Revenue Increases for Hospital products by tier (Including rate protection)</t>
  </si>
  <si>
    <t>Silver*</t>
  </si>
  <si>
    <t>Bronze*</t>
  </si>
  <si>
    <t>Basic*</t>
  </si>
  <si>
    <t>All Hospital</t>
  </si>
  <si>
    <t>General - Ambulance</t>
  </si>
  <si>
    <t>* Includes "Plus" products</t>
  </si>
  <si>
    <t>Proposed Changes to Benefits</t>
  </si>
  <si>
    <t>Estimated cost (or saving) as a percentage of total HIB Premium Revenue</t>
  </si>
  <si>
    <t>Additional lines may be added to this section</t>
  </si>
  <si>
    <t>Product Changes</t>
  </si>
  <si>
    <t>Description of change -</t>
  </si>
  <si>
    <t>Product tier</t>
  </si>
  <si>
    <t>Detrimental or enhancement-</t>
  </si>
  <si>
    <t>(E.g. Add/remove service X from product range Y)</t>
  </si>
  <si>
    <t xml:space="preserve">Description of change - </t>
  </si>
  <si>
    <t>Projected 
(LY approved)</t>
  </si>
  <si>
    <t>Projected (this application)</t>
  </si>
  <si>
    <t>General Treatment Total</t>
  </si>
  <si>
    <t>Segment</t>
  </si>
  <si>
    <t>Lower</t>
  </si>
  <si>
    <t>Central</t>
  </si>
  <si>
    <t>Upper</t>
  </si>
  <si>
    <t>HIB Hospital</t>
  </si>
  <si>
    <t>HIB General treatment</t>
  </si>
  <si>
    <t>HIB Aggregate</t>
  </si>
  <si>
    <t>Migration impacts</t>
  </si>
  <si>
    <t>Migration impact $</t>
  </si>
  <si>
    <t>Dependents reform impact</t>
  </si>
  <si>
    <t>Net overall impact of implementing dependents reform $</t>
  </si>
  <si>
    <t>Forecast HIB Premium Revenue $</t>
  </si>
  <si>
    <t>Forecast HIB Premium Revenue formula adjustment %</t>
  </si>
  <si>
    <t xml:space="preserve">Optional - Provide a brief description of the dependents reform impacts above </t>
  </si>
  <si>
    <t>Products below targets</t>
  </si>
  <si>
    <t> </t>
  </si>
  <si>
    <t>The proportion of products that are below gross margin target percent. This is to be expressed as the volume of premium from the products, as a percentage of total HIB Premium Revenue.</t>
  </si>
  <si>
    <t>%</t>
  </si>
  <si>
    <t>Product name</t>
  </si>
  <si>
    <t>Percentage of total HIB premium revenue for whole fund</t>
  </si>
  <si>
    <t>Gross margin target percent</t>
  </si>
  <si>
    <t>Description</t>
  </si>
  <si>
    <r>
      <t>Expected (approved PR25)</t>
    </r>
    <r>
      <rPr>
        <b/>
        <vertAlign val="superscript"/>
        <sz val="8.5"/>
        <rFont val="Arial Narrow"/>
        <family val="2"/>
      </rPr>
      <t>1</t>
    </r>
  </si>
  <si>
    <t>Net benefits drawing rate growth</t>
  </si>
  <si>
    <t>Hospital treatment net benefits drawing rate growth</t>
  </si>
  <si>
    <t>Hospital DR component check:</t>
  </si>
  <si>
    <t>Hospital benefits utilisation growth (optional split if available)</t>
  </si>
  <si>
    <t>Hospital benefits indexation growth, net of risk equalisation (optional split if available)</t>
  </si>
  <si>
    <t>Medical benefits drawing rate growth, net of risk equalisation (optional split if available)</t>
  </si>
  <si>
    <t>General treatment benefits drawing rate growth</t>
  </si>
  <si>
    <t>Other business expenses ratio</t>
  </si>
  <si>
    <t>Inputs</t>
  </si>
  <si>
    <r>
      <t>Note</t>
    </r>
    <r>
      <rPr>
        <sz val="9"/>
        <rFont val="Arial"/>
        <family val="2"/>
      </rPr>
      <t>: Reflect growth in underlying benefit drawing rates after net risk equalisation, excluding the impact of product mix changes.</t>
    </r>
  </si>
  <si>
    <t>PY25/26 Hospital benefits as % of total HIB benefits (from Template B) - used to calculate aggregate DR growth</t>
  </si>
  <si>
    <t>PY25/26 Hospital premiums as % of total HIB premiums (from Template B) - used to calculate Combined GT premium</t>
  </si>
  <si>
    <t>Hospital premiums as % of total Combined premiums (based on Template A mix) - Assumed constant split across all hospital tiers.</t>
  </si>
  <si>
    <t>Note: Basis of premium increase attribution analysis is an assumed fixed margin, with any impacts resulting in a change in revenue, and rate change impact.</t>
  </si>
  <si>
    <t xml:space="preserve"> Premium Projection to achieve reference margin</t>
  </si>
  <si>
    <t>Initial premium projection</t>
  </si>
  <si>
    <t>Premium change impact</t>
  </si>
  <si>
    <t>Premium revenue ($'million)</t>
  </si>
  <si>
    <t>Gross margin</t>
  </si>
  <si>
    <t>Expense ratio</t>
  </si>
  <si>
    <t>Net margins</t>
  </si>
  <si>
    <t>Net benefits ($'million)</t>
  </si>
  <si>
    <t>Gross margins</t>
  </si>
  <si>
    <t>Other business expenses</t>
  </si>
  <si>
    <t>Lookup:</t>
  </si>
  <si>
    <t>*</t>
  </si>
  <si>
    <t>General*</t>
  </si>
  <si>
    <t>Attribution of premium rate change</t>
  </si>
  <si>
    <t>Calculation:</t>
  </si>
  <si>
    <t>Incremental</t>
  </si>
  <si>
    <t>Cumulative</t>
  </si>
  <si>
    <t>TOTAL</t>
  </si>
  <si>
    <t>$'million</t>
  </si>
  <si>
    <t>Ratio</t>
  </si>
  <si>
    <t>Comment</t>
  </si>
  <si>
    <t>Annualised Template A premium revenue (current prices) $'million</t>
  </si>
  <si>
    <r>
      <rPr>
        <b/>
        <sz val="9"/>
        <rFont val="Arial"/>
        <family val="2"/>
      </rPr>
      <t>Note</t>
    </r>
    <r>
      <rPr>
        <sz val="9"/>
        <rFont val="Arial"/>
        <family val="2"/>
      </rPr>
      <t>: All components in this table should reflect values excluding the impact of mix change, consistent with the calculation of the headline rate change in Template C.</t>
    </r>
  </si>
  <si>
    <t>Attribution of change</t>
  </si>
  <si>
    <t>Treatment</t>
  </si>
  <si>
    <t>Total</t>
  </si>
  <si>
    <t>Current PY - LY approved premium application assumptions</t>
  </si>
  <si>
    <t>LY assumed benefits based on AvE benefit DR growth, ignores mix. LY assumed expense ratio</t>
  </si>
  <si>
    <t>Premium change due to:</t>
  </si>
  <si>
    <t>% Change</t>
  </si>
  <si>
    <t>Provide commentary here or in Written Report, where additional context will be useful to understanding the changes.</t>
  </si>
  <si>
    <t>Current PY - AvE other business expense ratio</t>
  </si>
  <si>
    <t>LY assumed benefits based on AvE benefit DR growth, ignores mix. Actual expense ratio</t>
  </si>
  <si>
    <t>Baseline: Current PY - recent actual experience</t>
  </si>
  <si>
    <t>Benefits based on Template B current PY gross margins.</t>
  </si>
  <si>
    <r>
      <t xml:space="preserve">Benefit growth </t>
    </r>
    <r>
      <rPr>
        <vertAlign val="superscript"/>
        <sz val="8.5"/>
        <rFont val="Arial Narrow"/>
        <family val="2"/>
      </rPr>
      <t>1</t>
    </r>
  </si>
  <si>
    <t>Add commentary here or in Written Report, as required</t>
  </si>
  <si>
    <t>Premium impact of excluding PL savings</t>
  </si>
  <si>
    <t>Incremental benefits growth component impact on premiums maintain to GM</t>
  </si>
  <si>
    <t>Other expenses ratio</t>
  </si>
  <si>
    <t>Hospital benefits indexation growth (optional split if available), net of risk equalisation</t>
  </si>
  <si>
    <t>Template A policies (Combined policies count as 1 in total)</t>
  </si>
  <si>
    <t>Aggregate net benefit drawing rate growth</t>
  </si>
  <si>
    <t>Next PY benefits growth</t>
  </si>
  <si>
    <t>Aggregate benefits growth impact on premiums to maintain GM</t>
  </si>
  <si>
    <t>Next PY Other business expense ratio</t>
  </si>
  <si>
    <t>Change in ME to next year's assumption</t>
  </si>
  <si>
    <t>Margin adjustment effects</t>
  </si>
  <si>
    <t>Migration impact - adjustment for dilution of headline premium rate change due to terminating products</t>
  </si>
  <si>
    <t>Add basis of migration-to price weighting, as required</t>
  </si>
  <si>
    <t>Other expenses ratio change in premium year commencing April 2026 (current) vs April 2025</t>
  </si>
  <si>
    <t>Net margin % impact</t>
  </si>
  <si>
    <t>eg.Change to Prudential capital</t>
  </si>
  <si>
    <t>eg. Business risk adjustment</t>
  </si>
  <si>
    <t>eg. Margin adjustment</t>
  </si>
  <si>
    <t>Add additional factors as required</t>
  </si>
  <si>
    <t>Remove PL savings from PL benefits growth</t>
  </si>
  <si>
    <t>Checks</t>
  </si>
  <si>
    <t>Analysis policy count matches Template A - should be zero</t>
  </si>
  <si>
    <t>Base Rate Change Excluding Rate Protection (%)</t>
  </si>
  <si>
    <t>Analysis premiums matches Template A - should be zero</t>
  </si>
  <si>
    <t>Rate protection</t>
  </si>
  <si>
    <t>Attribution of premium rate change - Analysis calculations</t>
  </si>
  <si>
    <t>Age-based discounts</t>
  </si>
  <si>
    <t>Analysis inputs</t>
  </si>
  <si>
    <t>Dependent reform</t>
  </si>
  <si>
    <t>See Attachment A for further detail</t>
  </si>
  <si>
    <t>Technical notes</t>
  </si>
  <si>
    <t>Headline Rate Change  %</t>
  </si>
  <si>
    <t>Including Age Based Conversion Factor, Dependents reform impact and Rate Protection</t>
  </si>
  <si>
    <t>Policy count from Template A; Combined policies count as a Hospital and General Treatment policy, but only 1 policy in Total</t>
  </si>
  <si>
    <r>
      <rPr>
        <vertAlign val="superscript"/>
        <sz val="9"/>
        <rFont val="Arial"/>
        <family val="2"/>
      </rPr>
      <t xml:space="preserve">1 </t>
    </r>
    <r>
      <rPr>
        <sz val="9"/>
        <rFont val="Arial"/>
        <family val="2"/>
      </rPr>
      <t>Reflects the difference in average benefit growth for the current premium year (updated for actual experience to date), compared to average benefit growth assumed in approved premium round application.</t>
    </r>
  </si>
  <si>
    <t>Calculated from Template A; Combined policy revenue is split between Hospital and General Treatment to align to Template B split.</t>
  </si>
  <si>
    <r>
      <rPr>
        <vertAlign val="superscript"/>
        <sz val="9"/>
        <rFont val="Arial"/>
        <family val="2"/>
      </rPr>
      <t xml:space="preserve">2 </t>
    </r>
    <r>
      <rPr>
        <sz val="9"/>
        <rFont val="Arial"/>
        <family val="2"/>
      </rPr>
      <t>Reflects the average benefit growth assumed in the current premium round, i.e. the estimate of average benefits for the current premium year compared to average benefits for the previous premium year (updated for actual experience).</t>
    </r>
  </si>
  <si>
    <t>Annualised Template A premiums divided by policies</t>
  </si>
  <si>
    <t>Average net benefits per policy:</t>
  </si>
  <si>
    <t>Estimated using reported Actuals vs Expected underlying benefit DR growth in current period</t>
  </si>
  <si>
    <t>Based on annualised Sept premiums and current aggregate margins</t>
  </si>
  <si>
    <t>Estimated using reported underlying benefit DR growth in next PY</t>
  </si>
  <si>
    <t>Gross margin:</t>
  </si>
  <si>
    <t>Estimated PY25/26 gross margins using approved 2025 premium application assumptions, includes product mix effects from this premium application</t>
  </si>
  <si>
    <t>Migration impact</t>
  </si>
  <si>
    <t>Impact on headline premium rate change calculation due to maintaining previous premium rate for terminating policies. Unable to split into hospital and extras due to combined products.</t>
  </si>
  <si>
    <t>Assumed PL savings (% of hospital premiums):</t>
  </si>
  <si>
    <t>Change in impact of savings on premium increase between last year's approved premiums and current application.</t>
  </si>
  <si>
    <t>Other business expense ratio</t>
  </si>
  <si>
    <t>Enter from last year's premium round</t>
  </si>
  <si>
    <t>From template B</t>
  </si>
  <si>
    <t>INSURED GROUP</t>
  </si>
  <si>
    <t>PRODUCT TYPE</t>
  </si>
  <si>
    <t>INSURER NAME</t>
  </si>
  <si>
    <t>ABBREVIATION</t>
  </si>
  <si>
    <t>FP or NFP</t>
  </si>
  <si>
    <t>RESTRICTED/OPEN</t>
  </si>
  <si>
    <t>ACA Health Benefits Fund Ltd</t>
  </si>
  <si>
    <t>ACA</t>
  </si>
  <si>
    <t>Not-for-Profit</t>
  </si>
  <si>
    <t>Restricted</t>
  </si>
  <si>
    <t>AIA Health Insurance Pty Ltd</t>
  </si>
  <si>
    <t>AIAH</t>
  </si>
  <si>
    <t>For-Profit</t>
  </si>
  <si>
    <t>Open</t>
  </si>
  <si>
    <t>Australian Unity Health Ltd</t>
  </si>
  <si>
    <t>AustUnity</t>
  </si>
  <si>
    <t>BUPA HI Pty Ltd</t>
  </si>
  <si>
    <t>Bupa</t>
  </si>
  <si>
    <t>CBHS Corporate Health Pty Ltd</t>
  </si>
  <si>
    <t>CBHSCH</t>
  </si>
  <si>
    <t>HOSPITAL CATEGORY</t>
  </si>
  <si>
    <t>CBHS Health Fund Ltd</t>
  </si>
  <si>
    <t>CBHS</t>
  </si>
  <si>
    <t>Cessnock District Health Benefits Fund Ltd</t>
  </si>
  <si>
    <t>CDH</t>
  </si>
  <si>
    <t>Defence Health Ltd</t>
  </si>
  <si>
    <t>Defence</t>
  </si>
  <si>
    <t>Silver</t>
  </si>
  <si>
    <t>Doctors' Health Fund Pty Ltd</t>
  </si>
  <si>
    <t>DHF</t>
  </si>
  <si>
    <t>STATE</t>
  </si>
  <si>
    <t>Bronze Plus</t>
  </si>
  <si>
    <t>GMHBA Ltd</t>
  </si>
  <si>
    <t>GMHBA</t>
  </si>
  <si>
    <t>Bronze</t>
  </si>
  <si>
    <t>HBF Health Ltd</t>
  </si>
  <si>
    <t>HBF</t>
  </si>
  <si>
    <t>Basic Plus</t>
  </si>
  <si>
    <t>Health Care Insurance Ltd</t>
  </si>
  <si>
    <t>HCI</t>
  </si>
  <si>
    <t>Basic</t>
  </si>
  <si>
    <t>Health Insurance Fund of Australia Ltd</t>
  </si>
  <si>
    <t>HIF</t>
  </si>
  <si>
    <t>Health Partners Ltd</t>
  </si>
  <si>
    <t>HP</t>
  </si>
  <si>
    <t>PRODUCTCODE</t>
  </si>
  <si>
    <t>Hospitals Contribution Fund of Australia Ltd</t>
  </si>
  <si>
    <t>HCF</t>
  </si>
  <si>
    <t>unique id for the standard information statement, generated by the privatehealth.gov.au system.</t>
  </si>
  <si>
    <t>Latrobe Health Services Ltd</t>
  </si>
  <si>
    <t>Latrobe</t>
  </si>
  <si>
    <t>Medibank Private Ltd</t>
  </si>
  <si>
    <t>Medibank</t>
  </si>
  <si>
    <t>Mildura District Hospital Fund Ltd</t>
  </si>
  <si>
    <t>Mildura</t>
  </si>
  <si>
    <t>PRODUCT STATUS</t>
  </si>
  <si>
    <t>National Health Benefits Australia Pty Ltd</t>
  </si>
  <si>
    <t>NHBA</t>
  </si>
  <si>
    <t>Open - New Product</t>
  </si>
  <si>
    <t>Navy Health Ltd</t>
  </si>
  <si>
    <t>Navy</t>
  </si>
  <si>
    <t>NIB Health Funds Ltd</t>
  </si>
  <si>
    <t>nib</t>
  </si>
  <si>
    <t>Closed - Closing</t>
  </si>
  <si>
    <t>Peoplecare Health Ltd</t>
  </si>
  <si>
    <t>Peoplecare</t>
  </si>
  <si>
    <t>Closed - Existing</t>
  </si>
  <si>
    <t>Phoenix Health Fund Ltd</t>
  </si>
  <si>
    <t>Phoenix</t>
  </si>
  <si>
    <t>Police Health Ltd</t>
  </si>
  <si>
    <t>Police</t>
  </si>
  <si>
    <t>Reserve Bank Health Society Ltd</t>
  </si>
  <si>
    <t>RBHS</t>
  </si>
  <si>
    <t>St Luke's Medical and Hospital Benefits Association</t>
  </si>
  <si>
    <t>St Luke's</t>
  </si>
  <si>
    <t>Teachers Federation Health Ltd</t>
  </si>
  <si>
    <t>Teachers</t>
  </si>
  <si>
    <t>Westfund Ltd</t>
  </si>
  <si>
    <t>Westfund</t>
  </si>
  <si>
    <t>-</t>
  </si>
  <si>
    <t>Input variables</t>
  </si>
  <si>
    <t>Premium round</t>
  </si>
  <si>
    <t>Previous premium round</t>
  </si>
  <si>
    <t>Premium year</t>
  </si>
  <si>
    <t>Premium year start month</t>
  </si>
  <si>
    <t>Premium year end</t>
  </si>
  <si>
    <t>Field</t>
  </si>
  <si>
    <t>Criteria</t>
  </si>
  <si>
    <t>Number of lines not matching criteria</t>
  </si>
  <si>
    <t>Field equals one of the 7 drop down selections only, ignores blank cells</t>
  </si>
  <si>
    <t>PRODUCT CODE PHIS ID</t>
  </si>
  <si>
    <t>Field requires a unique code and cannot be blank</t>
  </si>
  <si>
    <t>PRODUCT NAME as at 1 April 2025</t>
  </si>
  <si>
    <t>Checks if Template A products exceed 30,000 rows</t>
  </si>
  <si>
    <t>PRODUCT STATUS as at 1 April 2025</t>
  </si>
  <si>
    <t>Field equals one of the 5 drop down selections only, ignores blank cells</t>
  </si>
  <si>
    <t>Field equals one of the 4 drop down selections only, ignores blank cells</t>
  </si>
  <si>
    <t>HOSPITAL CATEGORY as at 1 April 2025</t>
  </si>
  <si>
    <t>Field equals one of the 8 drop down selections only, ignores blank cells</t>
  </si>
  <si>
    <t>ANNUAL EXCESS as at 1 April 2025</t>
  </si>
  <si>
    <t>The total value of Annual Excess exceeds $750 for Singles or $1500 for Non-singles, ignores blank cells. A non-zero figure is not an error, and only identifies products which are not eligible for the MLS exemption.</t>
  </si>
  <si>
    <t>ANNUAL CO-PAYMENTS as at 1 April 2025</t>
  </si>
  <si>
    <t>ESTIMATED MIGRATION OF PEOPLE DUE TO DEPENDENT REFORM
over the 12 months from 1 April 2025</t>
  </si>
  <si>
    <t>Total of this column equals 0</t>
  </si>
  <si>
    <t>Non-Terminating products incorrect price entry</t>
  </si>
  <si>
    <t>Flags non-terminating products with price entered in column Z. Should be blank.</t>
  </si>
  <si>
    <t>Terminating products new price check</t>
  </si>
  <si>
    <t>Flags terminating products with no price entered in column Z. Set to average new price of products that policies will be automatically migrated to.</t>
  </si>
  <si>
    <t>Note</t>
  </si>
  <si>
    <t>Assumes Template A contains no more than 30,000 rows. Formulae will need to be updated if rows exceeded.</t>
  </si>
  <si>
    <t>Jul 23 (Actuals)</t>
  </si>
  <si>
    <r>
      <t>Net margin</t>
    </r>
    <r>
      <rPr>
        <b/>
        <vertAlign val="superscript"/>
        <sz val="8.5"/>
        <color rgb="FFFF0000"/>
        <rFont val="Arial Narrow"/>
        <family val="2"/>
      </rPr>
      <t>1</t>
    </r>
  </si>
  <si>
    <r>
      <t>Jul 24</t>
    </r>
    <r>
      <rPr>
        <b/>
        <sz val="10"/>
        <color rgb="FFFF0000"/>
        <rFont val="Arial Narrow"/>
        <family val="2"/>
      </rPr>
      <t xml:space="preserve"> </t>
    </r>
    <r>
      <rPr>
        <b/>
        <sz val="10"/>
        <color theme="0"/>
        <rFont val="Arial Narrow"/>
        <family val="2"/>
      </rPr>
      <t>(Actuals)</t>
    </r>
  </si>
  <si>
    <t>Basis of analysis is to attribute requested headline effective premium increase into components based on information provided by insurers.</t>
  </si>
  <si>
    <t>Drawing rate growth components are provided by insurers.</t>
  </si>
  <si>
    <t>Residual</t>
  </si>
  <si>
    <t>Add commentary here or in Written Report, where residual is not close to zero</t>
  </si>
  <si>
    <t>AvE experience is included in analysis to draw out how much of experience variance would flow through to premium increase change.</t>
  </si>
  <si>
    <t>Note that mix effects are not captured in this analysis</t>
  </si>
  <si>
    <r>
      <t>Product Gross Margins</t>
    </r>
    <r>
      <rPr>
        <b/>
        <vertAlign val="superscript"/>
        <sz val="11"/>
        <rFont val="Arial Narrow"/>
        <family val="2"/>
      </rPr>
      <t>1</t>
    </r>
  </si>
  <si>
    <t>Hospital Total</t>
  </si>
  <si>
    <r>
      <t xml:space="preserve">1 </t>
    </r>
    <r>
      <rPr>
        <sz val="8"/>
        <rFont val="Arial"/>
        <family val="2"/>
      </rPr>
      <t>Percentage of premium revenue, on the same basis as Template B, including risk equalisation</t>
    </r>
    <r>
      <rPr>
        <vertAlign val="superscript"/>
        <sz val="8"/>
        <rFont val="Arial"/>
        <family val="2"/>
      </rPr>
      <t>.</t>
    </r>
  </si>
  <si>
    <r>
      <t>*</t>
    </r>
    <r>
      <rPr>
        <sz val="8"/>
        <rFont val="Arial"/>
        <family val="2"/>
      </rPr>
      <t xml:space="preserve"> includes "Plus" products</t>
    </r>
  </si>
  <si>
    <r>
      <rPr>
        <vertAlign val="superscript"/>
        <sz val="8"/>
        <rFont val="Arial"/>
        <family val="2"/>
      </rPr>
      <t xml:space="preserve">1 </t>
    </r>
    <r>
      <rPr>
        <sz val="8"/>
        <rFont val="Arial"/>
        <family val="2"/>
      </rPr>
      <t>Target gross and net margin lower and upper bound and/or central estimates where available. Provide aggregated figures weighted by PY26 premiums if pricing policy uses other groupings.</t>
    </r>
  </si>
  <si>
    <r>
      <t>'Actuals'
(this application)</t>
    </r>
    <r>
      <rPr>
        <b/>
        <vertAlign val="superscript"/>
        <sz val="10"/>
        <rFont val="Arial Narrow"/>
        <family val="2"/>
      </rPr>
      <t>2</t>
    </r>
  </si>
  <si>
    <t>Actuals vs Expected</t>
  </si>
  <si>
    <t>Variance in actuals versus assumed at last premium round</t>
  </si>
  <si>
    <t>Prescribed List of Medical Devices and Human Tissue Products</t>
  </si>
  <si>
    <t>Prescribed List of Medical Devices and Human Tissue Products (Prescribed List) benefits ($'000 for the year)</t>
  </si>
  <si>
    <t>Estimated savings (best endeavours basis) arising from the Prescribed List Reforms announced in the 2021-22 Federal Budget  implemented on 1 July 2023  ($'000 for the year)</t>
  </si>
  <si>
    <t>Explain how Prescribed List Reforms have impacted future contribution rate changes (no more than 200 words) - noting that the Minister's expectation is that all savings in benefits will be passed on in full to consumers through reduced premiums.</t>
  </si>
  <si>
    <t>* Prescribed List of Medical Devices and Human Tissue Products</t>
  </si>
  <si>
    <r>
      <t>Gross margin</t>
    </r>
    <r>
      <rPr>
        <b/>
        <vertAlign val="superscript"/>
        <sz val="8.5"/>
        <color theme="0"/>
        <rFont val="Arial Narrow"/>
        <family val="2"/>
      </rPr>
      <t>1</t>
    </r>
  </si>
  <si>
    <r>
      <t xml:space="preserve">3 </t>
    </r>
    <r>
      <rPr>
        <sz val="9"/>
        <rFont val="Arial"/>
        <family val="2"/>
      </rPr>
      <t>Change to premium rate due to changes in the insurer's view of savings associated with Prescribed List* reforms compared to their previous approved premium rate change,including changes relating to the previous year.</t>
    </r>
  </si>
  <si>
    <r>
      <t>Prescribed List* reforms savings</t>
    </r>
    <r>
      <rPr>
        <vertAlign val="superscript"/>
        <sz val="10"/>
        <rFont val="Arial Narrow"/>
        <family val="2"/>
      </rPr>
      <t>3</t>
    </r>
  </si>
  <si>
    <t>Hospital, medical and Prescribed List* net benefits drawing rate growth</t>
  </si>
  <si>
    <t>Prescribed List* benefits drawing rate growth, net of risk equalisation (optional split if available)</t>
  </si>
  <si>
    <t>Prescribed List* reforms savings</t>
  </si>
  <si>
    <r>
      <t>Prescribed List* reforms savings (% of hospital premiums): reflected in benefits growth assumptions above</t>
    </r>
    <r>
      <rPr>
        <vertAlign val="superscript"/>
        <sz val="10"/>
        <rFont val="Arial Narrow"/>
        <family val="2"/>
      </rPr>
      <t>4</t>
    </r>
  </si>
  <si>
    <t>Current PY - ex Prescribed List* savings experience</t>
  </si>
  <si>
    <t>Hospital, Medical and Prescribed List* net benefits drawing rate growth</t>
  </si>
  <si>
    <t>Next PY: Prescribed List* reforms benefits drawing rate growth ex savings</t>
  </si>
  <si>
    <t>(not used in analysis)</t>
  </si>
  <si>
    <t>(Including migrations and excluding rate protection)</t>
  </si>
  <si>
    <t>Sep25 mix average revenue increases for the year from 1 April 2026</t>
  </si>
  <si>
    <t>Benefit growth consistency check (may not be zero)</t>
  </si>
  <si>
    <r>
      <t>Expected (approved PR25)</t>
    </r>
    <r>
      <rPr>
        <b/>
        <vertAlign val="superscript"/>
        <sz val="8.5"/>
        <rFont val="Arial Narrow"/>
        <family val="2"/>
      </rPr>
      <t>3</t>
    </r>
  </si>
  <si>
    <r>
      <t>'Actuals'
(this application)</t>
    </r>
    <r>
      <rPr>
        <b/>
        <vertAlign val="superscript"/>
        <sz val="10"/>
        <rFont val="Arial Narrow"/>
        <family val="2"/>
      </rPr>
      <t>4</t>
    </r>
  </si>
  <si>
    <r>
      <t>Expected
(this application)</t>
    </r>
    <r>
      <rPr>
        <b/>
        <vertAlign val="superscript"/>
        <sz val="8.5"/>
        <rFont val="Arial Narrow"/>
        <family val="2"/>
      </rPr>
      <t>5</t>
    </r>
  </si>
  <si>
    <r>
      <t xml:space="preserve">PY25/26 gross margins per Template B, includes product mix effects - </t>
    </r>
    <r>
      <rPr>
        <sz val="9"/>
        <color theme="3" tint="0.39997558519241921"/>
        <rFont val="Arial"/>
        <family val="2"/>
      </rPr>
      <t>analysis anchor</t>
    </r>
    <r>
      <rPr>
        <sz val="9"/>
        <color rgb="FFFF0000"/>
        <rFont val="Arial"/>
        <family val="2"/>
      </rPr>
      <t xml:space="preserve"> </t>
    </r>
    <r>
      <rPr>
        <sz val="9"/>
        <color theme="3" tint="0.39997558519241921"/>
        <rFont val="Arial"/>
        <family val="2"/>
      </rPr>
      <t>point</t>
    </r>
    <r>
      <rPr>
        <sz val="9"/>
        <rFont val="Arial"/>
        <family val="2"/>
      </rPr>
      <t xml:space="preserve"> to set $ benefits</t>
    </r>
  </si>
  <si>
    <t>3 Expected drawing rate growth for premium year commencing April 2025, per last year's approved premium application.</t>
  </si>
  <si>
    <t>2 Current drawing rate growth for the premium year commencing April 2024, reflecting recent actual experience and any revisions on the remainder of the year.</t>
  </si>
  <si>
    <t>4 Current drawing rate growth for the premium year commencing April 2025, reflecting recent actual experience and any revisions on the remainder of the year.</t>
  </si>
  <si>
    <t>5 Expected drawing rate growth for the premium year commencing Apr 2026.</t>
  </si>
  <si>
    <t>6 Incremental savings expected in the period.</t>
  </si>
  <si>
    <t>1 Expected drawing rate growth for premium year commencing April 2024, per last year's approved premium application.</t>
  </si>
  <si>
    <t>Other margin factors (Add other factors, eg. changes to net margins, allowance for capital/risk, revenue impacts (LHC loadings, discounts)</t>
  </si>
  <si>
    <t>Hidden analysis in columns to the right -----&gt;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</si>
</sst>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2" formatCode="_-&quot;$&quot;* #,##0_-;\-&quot;$&quot;* #,##0_-;_-&quot;$&quot;* &quot;-&quot;_-;_-@_-"/>
    <numFmt numFmtId="44" formatCode="_-&quot;$&quot;* #,##0.00_-;\-&quot;$&quot;* #,##0.00_-;_-&quot;$&quot;* &quot;-&quot;??_-;_-@_-"/>
    <numFmt numFmtId="43" formatCode="_-* #,##0.00_-;\-* #,##0.00_-;_-* &quot;-&quot;??_-;_-@_-"/>
    <numFmt numFmtId="164" formatCode="_([$€-2]* #,##0.00_);_([$€-2]* \(#,##0.00\);_([$€-2]* &quot;-&quot;??_)"/>
    <numFmt numFmtId="165" formatCode="&quot;#&quot;\ "/>
    <numFmt numFmtId="166" formatCode="mmm\ yy"/>
    <numFmt numFmtId="167" formatCode="#,##0,;\(#,##0,\)"/>
    <numFmt numFmtId="168" formatCode="0.0%"/>
    <numFmt numFmtId="169" formatCode="#,##0;\(#,##0\)"/>
    <numFmt numFmtId="170" formatCode="_-&quot;$&quot;* #,##0_-;\-&quot;$&quot;* #,##0_-;_-&quot;$&quot;* &quot;-&quot;??_-;_-@_-"/>
    <numFmt numFmtId="171" formatCode="dd\ mmm\ yy"/>
    <numFmt numFmtId="172" formatCode="0_ ;[Red]\-0\ "/>
    <numFmt numFmtId="173" formatCode="dd\-mmm\-yy"/>
    <numFmt numFmtId="174" formatCode="_-* #,##0_-;\-* #,##0_-;_-* &quot;-&quot;??_-;_-@_-"/>
    <numFmt numFmtId="175" formatCode="#,##0_ ;\-#,##0\ "/>
    <numFmt numFmtId="176" formatCode="&quot;$&quot;#,##0"/>
    <numFmt numFmtId="177" formatCode="#,##0.0,,"/>
    <numFmt numFmtId="178" formatCode="&quot;$&quot;#,##0.0,,"/>
    <numFmt numFmtId="179" formatCode="&quot;$&quot;#,##0.0,,&quot;m&quot;\ ;\-&quot;$&quot;#,##0.0&quot;m&quot;"/>
    <numFmt numFmtId="180" formatCode="#,##0.00,,"/>
  </numFmts>
  <fonts count="85">
    <font>
      <sz val="10"/>
      <name val="Arial"/>
    </font>
    <font>
      <sz val="10"/>
      <name val="Arial"/>
      <family val="2"/>
    </font>
    <font>
      <b/>
      <sz val="10"/>
      <name val="Arial Narrow"/>
      <family val="2"/>
    </font>
    <font>
      <sz val="10"/>
      <name val="Arial Narrow"/>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name val="Palatino"/>
    </font>
    <font>
      <b/>
      <sz val="10"/>
      <color indexed="9"/>
      <name val="Arial Narrow"/>
      <family val="2"/>
    </font>
    <font>
      <i/>
      <sz val="10"/>
      <color indexed="21"/>
      <name val="Arial Narrow"/>
      <family val="2"/>
    </font>
    <font>
      <sz val="10"/>
      <color indexed="21"/>
      <name val="Arial Narrow"/>
      <family val="2"/>
    </font>
    <font>
      <b/>
      <sz val="16"/>
      <name val="Arial Narrow"/>
      <family val="2"/>
    </font>
    <font>
      <b/>
      <sz val="12"/>
      <name val="Arial Narrow"/>
      <family val="2"/>
    </font>
    <font>
      <i/>
      <sz val="10"/>
      <name val="Arial Narrow"/>
      <family val="2"/>
    </font>
    <font>
      <b/>
      <i/>
      <sz val="10"/>
      <name val="Arial Narrow"/>
      <family val="2"/>
    </font>
    <font>
      <b/>
      <sz val="8"/>
      <name val="Arial Narrow"/>
      <family val="2"/>
    </font>
    <font>
      <sz val="8"/>
      <name val="Arial Narrow"/>
      <family val="2"/>
    </font>
    <font>
      <sz val="8"/>
      <color indexed="8"/>
      <name val="Arial Narrow"/>
      <family val="2"/>
    </font>
    <font>
      <b/>
      <sz val="8"/>
      <color indexed="8"/>
      <name val="Arial Narrow"/>
      <family val="2"/>
    </font>
    <font>
      <b/>
      <sz val="11"/>
      <name val="Arial Narrow"/>
      <family val="2"/>
    </font>
    <font>
      <sz val="10"/>
      <name val="Arial"/>
      <family val="2"/>
    </font>
    <font>
      <b/>
      <sz val="16"/>
      <color theme="0"/>
      <name val="Arial Narrow"/>
      <family val="2"/>
    </font>
    <font>
      <b/>
      <sz val="10"/>
      <color theme="0"/>
      <name val="Arial Narrow"/>
      <family val="2"/>
    </font>
    <font>
      <sz val="10"/>
      <color theme="0"/>
      <name val="Arial Narrow"/>
      <family val="2"/>
    </font>
    <font>
      <sz val="10"/>
      <color rgb="FFFF0000"/>
      <name val="Arial Narrow"/>
      <family val="2"/>
    </font>
    <font>
      <i/>
      <sz val="8"/>
      <name val="Arial Narrow"/>
      <family val="2"/>
    </font>
    <font>
      <sz val="10"/>
      <name val="Arial"/>
      <family val="2"/>
    </font>
    <font>
      <b/>
      <sz val="11"/>
      <color theme="1"/>
      <name val="Arial Narrow"/>
      <family val="2"/>
    </font>
    <font>
      <sz val="10"/>
      <color theme="1"/>
      <name val="Arial Narrow"/>
      <family val="2"/>
    </font>
    <font>
      <sz val="10"/>
      <color theme="0" tint="-0.499984740745262"/>
      <name val="Arial Narrow"/>
      <family val="2"/>
    </font>
    <font>
      <b/>
      <sz val="11"/>
      <name val="Calibri"/>
      <family val="2"/>
    </font>
    <font>
      <sz val="10"/>
      <color theme="1" tint="0.34998626667073579"/>
      <name val="Arial Narrow"/>
      <family val="2"/>
    </font>
    <font>
      <sz val="10"/>
      <color rgb="FFFF0000"/>
      <name val="Arial"/>
      <family val="2"/>
    </font>
    <font>
      <b/>
      <sz val="10"/>
      <color rgb="FFFF0000"/>
      <name val="Arial Narrow"/>
      <family val="2"/>
    </font>
    <font>
      <b/>
      <u/>
      <sz val="10"/>
      <name val="Arial Narrow"/>
      <family val="2"/>
    </font>
    <font>
      <b/>
      <sz val="8"/>
      <color rgb="FFFF0000"/>
      <name val="Arial Narrow"/>
      <family val="2"/>
    </font>
    <font>
      <b/>
      <sz val="10"/>
      <name val="Arial"/>
      <family val="2"/>
    </font>
    <font>
      <b/>
      <sz val="12"/>
      <name val="Arial"/>
      <family val="2"/>
    </font>
    <font>
      <sz val="12"/>
      <name val="Arial"/>
      <family val="2"/>
    </font>
    <font>
      <b/>
      <sz val="11"/>
      <name val="Arial"/>
      <family val="2"/>
    </font>
    <font>
      <vertAlign val="superscript"/>
      <sz val="8.5"/>
      <name val="Arial Narrow"/>
      <family val="2"/>
    </font>
    <font>
      <sz val="9"/>
      <name val="Arial"/>
      <family val="2"/>
    </font>
    <font>
      <b/>
      <vertAlign val="superscript"/>
      <sz val="10"/>
      <name val="Arial Narrow"/>
      <family val="2"/>
    </font>
    <font>
      <b/>
      <sz val="9"/>
      <name val="Arial"/>
      <family val="2"/>
    </font>
    <font>
      <sz val="9"/>
      <color rgb="FF000000"/>
      <name val="Arial"/>
      <family val="2"/>
    </font>
    <font>
      <vertAlign val="superscript"/>
      <sz val="9"/>
      <name val="Arial"/>
      <family val="2"/>
    </font>
    <font>
      <b/>
      <vertAlign val="superscript"/>
      <sz val="8.5"/>
      <name val="Arial Narrow"/>
      <family val="2"/>
    </font>
    <font>
      <i/>
      <sz val="10"/>
      <color theme="0" tint="-0.34998626667073579"/>
      <name val="Arial Narrow"/>
      <family val="2"/>
    </font>
    <font>
      <vertAlign val="superscript"/>
      <sz val="7"/>
      <name val="Arial"/>
      <family val="2"/>
    </font>
    <font>
      <b/>
      <i/>
      <sz val="10"/>
      <color theme="0"/>
      <name val="Arial Narrow"/>
      <family val="2"/>
    </font>
    <font>
      <sz val="8"/>
      <name val="Arial"/>
      <family val="2"/>
    </font>
    <font>
      <sz val="8"/>
      <color theme="0" tint="-0.499984740745262"/>
      <name val="Arial"/>
      <family val="2"/>
    </font>
    <font>
      <sz val="10"/>
      <color rgb="FFFFC000"/>
      <name val="Arial Narrow"/>
      <family val="2"/>
    </font>
    <font>
      <sz val="10"/>
      <color rgb="FFFFC000"/>
      <name val="Arial"/>
      <family val="2"/>
    </font>
    <font>
      <sz val="12"/>
      <color rgb="FFFF0000"/>
      <name val="Arial"/>
      <family val="2"/>
    </font>
    <font>
      <b/>
      <sz val="10"/>
      <color theme="0" tint="-0.34998626667073579"/>
      <name val="Arial Narrow"/>
      <family val="2"/>
    </font>
    <font>
      <sz val="9"/>
      <color rgb="FFFF0000"/>
      <name val="Arial"/>
      <family val="2"/>
    </font>
    <font>
      <sz val="10"/>
      <color theme="0" tint="-0.34998626667073579"/>
      <name val="Arial Narrow"/>
      <family val="2"/>
    </font>
    <font>
      <i/>
      <sz val="10"/>
      <color theme="0" tint="-0.499984740745262"/>
      <name val="Arial Narrow"/>
      <family val="2"/>
    </font>
    <font>
      <sz val="11"/>
      <name val="Arial Narrow"/>
      <family val="2"/>
    </font>
    <font>
      <b/>
      <vertAlign val="superscript"/>
      <sz val="8.5"/>
      <color rgb="FFFF0000"/>
      <name val="Arial Narrow"/>
      <family val="2"/>
    </font>
    <font>
      <b/>
      <sz val="16"/>
      <color rgb="FFFF0000"/>
      <name val="Arial Narrow"/>
      <family val="2"/>
    </font>
    <font>
      <vertAlign val="superscript"/>
      <sz val="10"/>
      <name val="Arial Narrow"/>
      <family val="2"/>
    </font>
    <font>
      <b/>
      <vertAlign val="superscript"/>
      <sz val="11"/>
      <name val="Arial Narrow"/>
      <family val="2"/>
    </font>
    <font>
      <vertAlign val="superscript"/>
      <sz val="8"/>
      <name val="Arial"/>
      <family val="2"/>
    </font>
    <font>
      <sz val="7"/>
      <name val="Arial"/>
      <family val="2"/>
    </font>
    <font>
      <b/>
      <sz val="12"/>
      <color theme="0"/>
      <name val="Arial"/>
      <family val="2"/>
    </font>
    <font>
      <b/>
      <vertAlign val="superscript"/>
      <sz val="8.5"/>
      <color theme="0"/>
      <name val="Arial Narrow"/>
      <family val="2"/>
    </font>
    <font>
      <sz val="9"/>
      <color theme="3" tint="0.39997558519241921"/>
      <name val="Arial"/>
      <family val="2"/>
    </font>
    <font>
      <sz val="10"/>
      <color theme="3" tint="0.39997558519241921"/>
      <name val="Arial Narrow"/>
      <family val="2"/>
    </font>
  </fonts>
  <fills count="4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indexed="42"/>
        <bgColor indexed="64"/>
      </patternFill>
    </fill>
    <fill>
      <patternFill patternType="solid">
        <fgColor theme="0"/>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3" tint="-0.49998474074526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0F243E"/>
        <bgColor rgb="FF000000"/>
      </patternFill>
    </fill>
    <fill>
      <patternFill patternType="solid">
        <fgColor rgb="FFBFBFBF"/>
        <bgColor rgb="FF000000"/>
      </patternFill>
    </fill>
    <fill>
      <patternFill patternType="solid">
        <fgColor rgb="FFFFFFFF"/>
        <bgColor rgb="FF000000"/>
      </patternFill>
    </fill>
    <fill>
      <patternFill patternType="solid">
        <fgColor theme="3" tint="-0.499984740745262"/>
        <bgColor rgb="FF000000"/>
      </patternFill>
    </fill>
    <fill>
      <patternFill patternType="solid">
        <fgColor theme="0" tint="-0.34998626667073579"/>
        <bgColor indexed="64"/>
      </patternFill>
    </fill>
    <fill>
      <patternFill patternType="solid">
        <fgColor theme="0" tint="-0.249977111117893"/>
        <bgColor rgb="FF000000"/>
      </patternFill>
    </fill>
    <fill>
      <patternFill patternType="solid">
        <fgColor rgb="FFFFFFCC"/>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theme="1" tint="0.249977111117893"/>
        <bgColor indexed="64"/>
      </patternFill>
    </fill>
    <fill>
      <patternFill patternType="solid">
        <fgColor theme="0" tint="-0.24994659260841701"/>
        <bgColor indexed="64"/>
      </patternFill>
    </fill>
  </fills>
  <borders count="136">
    <border>
      <left/>
      <right/>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23"/>
      </right>
      <top style="thin">
        <color indexed="23"/>
      </top>
      <bottom style="thin">
        <color indexed="23"/>
      </bottom>
      <diagonal/>
    </border>
    <border>
      <left/>
      <right style="thin">
        <color indexed="23"/>
      </right>
      <top style="thin">
        <color indexed="23"/>
      </top>
      <bottom style="thin">
        <color indexed="23"/>
      </bottom>
      <diagonal/>
    </border>
    <border>
      <left/>
      <right/>
      <top style="thin">
        <color indexed="23"/>
      </top>
      <bottom style="thin">
        <color indexed="23"/>
      </bottom>
      <diagonal/>
    </border>
    <border>
      <left style="thin">
        <color indexed="23"/>
      </left>
      <right/>
      <top style="thin">
        <color indexed="23"/>
      </top>
      <bottom style="thin">
        <color indexed="23"/>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bottom style="thin">
        <color indexed="23"/>
      </bottom>
      <diagonal/>
    </border>
    <border>
      <left style="thin">
        <color theme="0" tint="-0.499984740745262"/>
      </left>
      <right style="thin">
        <color theme="0" tint="-0.499984740745262"/>
      </right>
      <top style="thin">
        <color indexed="23"/>
      </top>
      <bottom style="thin">
        <color indexed="23"/>
      </bottom>
      <diagonal/>
    </border>
    <border>
      <left/>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indexed="23"/>
      </bottom>
      <diagonal/>
    </border>
    <border>
      <left style="medium">
        <color indexed="64"/>
      </left>
      <right/>
      <top/>
      <bottom/>
      <diagonal/>
    </border>
    <border>
      <left style="thin">
        <color indexed="63"/>
      </left>
      <right style="thin">
        <color indexed="63"/>
      </right>
      <top style="double">
        <color indexed="63"/>
      </top>
      <bottom style="thin">
        <color indexed="63"/>
      </bottom>
      <diagonal/>
    </border>
    <border>
      <left style="thin">
        <color indexed="63"/>
      </left>
      <right style="thin">
        <color indexed="63"/>
      </right>
      <top style="thin">
        <color indexed="63"/>
      </top>
      <bottom/>
      <diagonal/>
    </border>
    <border>
      <left style="thin">
        <color indexed="63"/>
      </left>
      <right style="thin">
        <color indexed="63"/>
      </right>
      <top/>
      <bottom style="thin">
        <color indexed="63"/>
      </bottom>
      <diagonal/>
    </border>
    <border>
      <left/>
      <right/>
      <top style="thin">
        <color theme="0" tint="-0.499984740745262"/>
      </top>
      <bottom style="thin">
        <color theme="0" tint="-0.499984740745262"/>
      </bottom>
      <diagonal/>
    </border>
    <border>
      <left style="thin">
        <color indexed="23"/>
      </left>
      <right style="thin">
        <color indexed="23"/>
      </right>
      <top style="thin">
        <color indexed="23"/>
      </top>
      <bottom/>
      <diagonal/>
    </border>
    <border>
      <left style="thin">
        <color indexed="23"/>
      </left>
      <right/>
      <top style="thin">
        <color indexed="23"/>
      </top>
      <bottom/>
      <diagonal/>
    </border>
    <border>
      <left style="thin">
        <color theme="0" tint="-0.499984740745262"/>
      </left>
      <right/>
      <top style="thin">
        <color indexed="23"/>
      </top>
      <bottom/>
      <diagonal/>
    </border>
    <border>
      <left style="thin">
        <color theme="0" tint="-0.499984740745262"/>
      </left>
      <right/>
      <top/>
      <bottom/>
      <diagonal/>
    </border>
    <border>
      <left style="thin">
        <color theme="0" tint="-0.499984740745262"/>
      </left>
      <right/>
      <top style="thin">
        <color theme="0" tint="-0.499984740745262"/>
      </top>
      <bottom style="thin">
        <color indexed="23"/>
      </bottom>
      <diagonal/>
    </border>
    <border>
      <left/>
      <right style="thin">
        <color theme="0" tint="-0.499984740745262"/>
      </right>
      <top style="thin">
        <color theme="0" tint="-0.499984740745262"/>
      </top>
      <bottom style="thin">
        <color indexed="23"/>
      </bottom>
      <diagonal/>
    </border>
    <border>
      <left style="thin">
        <color theme="0" tint="-0.499984740745262"/>
      </left>
      <right/>
      <top style="thin">
        <color indexed="23"/>
      </top>
      <bottom style="thin">
        <color indexed="23"/>
      </bottom>
      <diagonal/>
    </border>
    <border>
      <left/>
      <right style="thin">
        <color theme="0" tint="-0.499984740745262"/>
      </right>
      <top style="thin">
        <color indexed="23"/>
      </top>
      <bottom style="thin">
        <color indexed="23"/>
      </bottom>
      <diagonal/>
    </border>
    <border>
      <left/>
      <right style="thin">
        <color theme="0" tint="-0.499984740745262"/>
      </right>
      <top/>
      <bottom style="thin">
        <color indexed="23"/>
      </bottom>
      <diagonal/>
    </border>
    <border>
      <left style="thin">
        <color theme="0" tint="-0.499984740745262"/>
      </left>
      <right/>
      <top/>
      <bottom style="thin">
        <color indexed="23"/>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style="thin">
        <color indexed="23"/>
      </top>
      <bottom style="thin">
        <color theme="0" tint="-0.499984740745262"/>
      </bottom>
      <diagonal/>
    </border>
    <border>
      <left/>
      <right/>
      <top style="thin">
        <color indexed="23"/>
      </top>
      <bottom style="thin">
        <color theme="0" tint="-0.499984740745262"/>
      </bottom>
      <diagonal/>
    </border>
    <border>
      <left/>
      <right style="thin">
        <color theme="0" tint="-0.499984740745262"/>
      </right>
      <top style="thin">
        <color indexed="23"/>
      </top>
      <bottom style="thin">
        <color theme="0" tint="-0.499984740745262"/>
      </bottom>
      <diagonal/>
    </border>
    <border>
      <left style="thin">
        <color indexed="23"/>
      </left>
      <right style="thin">
        <color indexed="23"/>
      </right>
      <top/>
      <bottom style="thin">
        <color indexed="23"/>
      </bottom>
      <diagonal/>
    </border>
    <border>
      <left/>
      <right style="thin">
        <color theme="0" tint="-0.499984740745262"/>
      </right>
      <top/>
      <bottom/>
      <diagonal/>
    </border>
    <border>
      <left style="thin">
        <color indexed="23"/>
      </left>
      <right style="thin">
        <color theme="0" tint="-0.499984740745262"/>
      </right>
      <top style="thin">
        <color indexed="23"/>
      </top>
      <bottom style="thin">
        <color indexed="23"/>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style="thin">
        <color indexed="23"/>
      </top>
      <bottom/>
      <diagonal/>
    </border>
    <border>
      <left style="thin">
        <color theme="0" tint="-0.499984740745262"/>
      </left>
      <right style="thin">
        <color theme="0" tint="-0.499984740745262"/>
      </right>
      <top/>
      <bottom/>
      <diagonal/>
    </border>
    <border>
      <left style="thin">
        <color rgb="FF808080"/>
      </left>
      <right style="thin">
        <color rgb="FF808080"/>
      </right>
      <top style="thin">
        <color rgb="FF808080"/>
      </top>
      <bottom style="thin">
        <color rgb="FF808080"/>
      </bottom>
      <diagonal/>
    </border>
    <border>
      <left style="thin">
        <color rgb="FF808080"/>
      </left>
      <right/>
      <top/>
      <bottom style="thin">
        <color rgb="FF808080"/>
      </bottom>
      <diagonal/>
    </border>
    <border>
      <left/>
      <right/>
      <top/>
      <bottom style="medium">
        <color indexed="64"/>
      </bottom>
      <diagonal/>
    </border>
    <border>
      <left style="thin">
        <color theme="0" tint="-0.499984740745262"/>
      </left>
      <right style="thin">
        <color theme="0" tint="-0.499984740745262"/>
      </right>
      <top/>
      <bottom style="thin">
        <color theme="0" tint="-0.499984740745262"/>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23"/>
      </left>
      <right style="thin">
        <color indexed="23"/>
      </right>
      <top style="thin">
        <color indexed="64"/>
      </top>
      <bottom style="medium">
        <color indexed="64"/>
      </bottom>
      <diagonal/>
    </border>
    <border>
      <left style="thin">
        <color indexed="23"/>
      </left>
      <right/>
      <top style="thin">
        <color indexed="64"/>
      </top>
      <bottom style="medium">
        <color indexed="64"/>
      </bottom>
      <diagonal/>
    </border>
    <border>
      <left/>
      <right style="thin">
        <color indexed="23"/>
      </right>
      <top style="thin">
        <color indexed="64"/>
      </top>
      <bottom style="medium">
        <color indexed="64"/>
      </bottom>
      <diagonal/>
    </border>
    <border>
      <left style="medium">
        <color auto="1"/>
      </left>
      <right style="thin">
        <color indexed="23"/>
      </right>
      <top style="thin">
        <color indexed="64"/>
      </top>
      <bottom style="medium">
        <color indexed="64"/>
      </bottom>
      <diagonal/>
    </border>
    <border>
      <left style="thin">
        <color indexed="23"/>
      </left>
      <right style="medium">
        <color auto="1"/>
      </right>
      <top style="thin">
        <color indexed="64"/>
      </top>
      <bottom style="medium">
        <color indexed="64"/>
      </bottom>
      <diagonal/>
    </border>
    <border>
      <left style="thin">
        <color theme="0" tint="-0.499984740745262"/>
      </left>
      <right style="thin">
        <color theme="0" tint="-0.499984740745262"/>
      </right>
      <top/>
      <bottom style="thin">
        <color indexed="23"/>
      </bottom>
      <diagonal/>
    </border>
    <border>
      <left style="thin">
        <color theme="0" tint="-0.499984740745262"/>
      </left>
      <right style="thin">
        <color theme="0" tint="-0.499984740745262"/>
      </right>
      <top style="thin">
        <color theme="0" tint="-0.499984740745262"/>
      </top>
      <bottom/>
      <diagonal/>
    </border>
    <border>
      <left/>
      <right/>
      <top style="thin">
        <color indexed="23"/>
      </top>
      <bottom/>
      <diagonal/>
    </border>
    <border>
      <left/>
      <right style="thin">
        <color indexed="23"/>
      </right>
      <top style="thin">
        <color indexed="23"/>
      </top>
      <bottom/>
      <diagonal/>
    </border>
    <border>
      <left style="thin">
        <color indexed="23"/>
      </left>
      <right/>
      <top/>
      <bottom/>
      <diagonal/>
    </border>
    <border>
      <left/>
      <right style="thin">
        <color indexed="23"/>
      </right>
      <top/>
      <bottom/>
      <diagonal/>
    </border>
    <border>
      <left style="thin">
        <color indexed="64"/>
      </left>
      <right/>
      <top/>
      <bottom style="medium">
        <color indexed="64"/>
      </bottom>
      <diagonal/>
    </border>
    <border>
      <left style="thin">
        <color indexed="64"/>
      </left>
      <right/>
      <top style="medium">
        <color indexed="64"/>
      </top>
      <bottom/>
      <diagonal/>
    </border>
    <border>
      <left/>
      <right/>
      <top style="medium">
        <color indexed="64"/>
      </top>
      <bottom/>
      <diagonal/>
    </border>
    <border>
      <left/>
      <right/>
      <top style="thin">
        <color theme="1" tint="0.499984740745262"/>
      </top>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style="thin">
        <color theme="0" tint="-0.499984740745262"/>
      </top>
      <bottom style="thin">
        <color theme="1"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indexed="23"/>
      </bottom>
      <diagonal/>
    </border>
    <border>
      <left/>
      <right style="thin">
        <color theme="1" tint="0.499984740745262"/>
      </right>
      <top/>
      <bottom/>
      <diagonal/>
    </border>
    <border>
      <left/>
      <right style="thin">
        <color theme="1" tint="0.499984740745262"/>
      </right>
      <top/>
      <bottom style="thin">
        <color theme="1" tint="0.499984740745262"/>
      </bottom>
      <diagonal/>
    </border>
    <border>
      <left/>
      <right style="thin">
        <color theme="1" tint="0.499984740745262"/>
      </right>
      <top style="thin">
        <color indexed="23"/>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top style="thin">
        <color theme="0" tint="-0.499984740745262"/>
      </top>
      <bottom style="thin">
        <color theme="1" tint="0.499984740745262"/>
      </bottom>
      <diagonal/>
    </border>
    <border>
      <left/>
      <right style="thin">
        <color theme="1" tint="0.499984740745262"/>
      </right>
      <top style="thin">
        <color theme="0" tint="-0.499984740745262"/>
      </top>
      <bottom style="thin">
        <color theme="1" tint="0.499984740745262"/>
      </bottom>
      <diagonal/>
    </border>
    <border>
      <left style="thin">
        <color theme="1" tint="0.499984740745262"/>
      </left>
      <right/>
      <top/>
      <bottom/>
      <diagonal/>
    </border>
    <border>
      <left style="thin">
        <color theme="1" tint="0.499984740745262"/>
      </left>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top style="thin">
        <color theme="1" tint="0.499984740745262"/>
      </top>
      <bottom style="thin">
        <color indexed="23"/>
      </bottom>
      <diagonal/>
    </border>
    <border>
      <left style="medium">
        <color theme="1" tint="4.9989318521683403E-2"/>
      </left>
      <right/>
      <top style="thin">
        <color theme="0" tint="-0.499984740745262"/>
      </top>
      <bottom style="thin">
        <color indexed="23"/>
      </bottom>
      <diagonal/>
    </border>
    <border>
      <left/>
      <right style="thin">
        <color theme="1" tint="0.499984740745262"/>
      </right>
      <top style="thin">
        <color indexed="23"/>
      </top>
      <bottom style="thin">
        <color indexed="23"/>
      </bottom>
      <diagonal/>
    </border>
    <border>
      <left style="thin">
        <color theme="1" tint="0.499984740745262"/>
      </left>
      <right style="thin">
        <color indexed="23"/>
      </right>
      <top/>
      <bottom/>
      <diagonal/>
    </border>
    <border>
      <left style="thin">
        <color theme="1" tint="0.499984740745262"/>
      </left>
      <right style="thin">
        <color indexed="23"/>
      </right>
      <top/>
      <bottom style="thin">
        <color theme="1" tint="0.499984740745262"/>
      </bottom>
      <diagonal/>
    </border>
    <border>
      <left style="thin">
        <color theme="1" tint="0.499984740745262"/>
      </left>
      <right/>
      <top style="thin">
        <color indexed="23"/>
      </top>
      <bottom/>
      <diagonal/>
    </border>
    <border>
      <left style="thin">
        <color theme="1" tint="0.499984740745262"/>
      </left>
      <right/>
      <top style="thin">
        <color theme="0" tint="-0.499984740745262"/>
      </top>
      <bottom/>
      <diagonal/>
    </border>
    <border>
      <left style="thin">
        <color auto="1"/>
      </left>
      <right style="thin">
        <color auto="1"/>
      </right>
      <top/>
      <bottom style="thin">
        <color auto="1"/>
      </bottom>
      <diagonal/>
    </border>
    <border>
      <left style="thin">
        <color indexed="23"/>
      </left>
      <right style="thick">
        <color indexed="23"/>
      </right>
      <top style="thin">
        <color indexed="23"/>
      </top>
      <bottom style="thin">
        <color indexed="23"/>
      </bottom>
      <diagonal/>
    </border>
    <border>
      <left/>
      <right style="thin">
        <color theme="0" tint="-0.499984740745262"/>
      </right>
      <top style="thin">
        <color indexed="23"/>
      </top>
      <bottom/>
      <diagonal/>
    </border>
    <border>
      <left style="dotted">
        <color auto="1"/>
      </left>
      <right/>
      <top/>
      <bottom/>
      <diagonal/>
    </border>
    <border>
      <left style="dotted">
        <color theme="0" tint="-0.499984740745262"/>
      </left>
      <right/>
      <top/>
      <bottom/>
      <diagonal/>
    </border>
    <border>
      <left style="dotted">
        <color theme="0" tint="-0.499984740745262"/>
      </left>
      <right style="thin">
        <color theme="0" tint="-0.499984740745262"/>
      </right>
      <top/>
      <bottom style="thin">
        <color theme="0" tint="-0.499984740745262"/>
      </bottom>
      <diagonal/>
    </border>
    <border>
      <left style="thin">
        <color indexed="23"/>
      </left>
      <right style="thin">
        <color indexed="23"/>
      </right>
      <top style="thin">
        <color indexed="23"/>
      </top>
      <bottom style="thin">
        <color theme="0" tint="-0.499984740745262"/>
      </bottom>
      <diagonal/>
    </border>
    <border>
      <left style="thin">
        <color theme="0" tint="-0.499984740745262"/>
      </left>
      <right/>
      <top/>
      <bottom style="dotted">
        <color theme="0" tint="-0.499984740745262"/>
      </bottom>
      <diagonal/>
    </border>
    <border>
      <left/>
      <right/>
      <top/>
      <bottom style="thin">
        <color indexed="64"/>
      </bottom>
      <diagonal/>
    </border>
    <border>
      <left style="thin">
        <color indexed="64"/>
      </left>
      <right style="thin">
        <color indexed="23"/>
      </right>
      <top/>
      <bottom style="thin">
        <color indexed="23"/>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23"/>
      </bottom>
      <diagonal/>
    </border>
    <border>
      <left/>
      <right style="thin">
        <color theme="0" tint="-0.499984740745262"/>
      </right>
      <top/>
      <bottom style="thin">
        <color indexed="23"/>
      </bottom>
      <diagonal/>
    </border>
    <border>
      <left/>
      <right style="thin">
        <color indexed="23"/>
      </right>
      <top/>
      <bottom style="thin">
        <color indexed="23"/>
      </bottom>
      <diagonal/>
    </border>
    <border>
      <left style="thin">
        <color theme="1"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23"/>
      </right>
      <top style="double">
        <color theme="1" tint="0.499984740745262"/>
      </top>
      <bottom style="thin">
        <color theme="0" tint="-0.499984740745262"/>
      </bottom>
      <diagonal/>
    </border>
    <border>
      <left style="thin">
        <color theme="0" tint="-0.499984740745262"/>
      </left>
      <right style="thin">
        <color indexed="23"/>
      </right>
      <top style="thin">
        <color indexed="23"/>
      </top>
      <bottom/>
      <diagonal/>
    </border>
    <border>
      <left style="thin">
        <color indexed="23"/>
      </left>
      <right style="thin">
        <color indexed="23"/>
      </right>
      <top style="thin">
        <color indexed="23"/>
      </top>
      <bottom style="double">
        <color theme="1" tint="0.499984740745262"/>
      </bottom>
      <diagonal/>
    </border>
    <border>
      <left style="thin">
        <color indexed="23"/>
      </left>
      <right style="thin">
        <color indexed="23"/>
      </right>
      <top style="thin">
        <color theme="0" tint="-0.499984740745262"/>
      </top>
      <bottom style="thin">
        <color indexed="23"/>
      </bottom>
      <diagonal/>
    </border>
    <border>
      <left style="thin">
        <color rgb="FF808080"/>
      </left>
      <right/>
      <top style="thin">
        <color rgb="FF808080"/>
      </top>
      <bottom/>
      <diagonal/>
    </border>
    <border>
      <left/>
      <right/>
      <top style="thin">
        <color rgb="FF808080"/>
      </top>
      <bottom/>
      <diagonal/>
    </border>
    <border>
      <left/>
      <right style="thin">
        <color rgb="FF808080"/>
      </right>
      <top style="thin">
        <color rgb="FF808080"/>
      </top>
      <bottom/>
      <diagonal/>
    </border>
    <border>
      <left style="thin">
        <color rgb="FF808080"/>
      </left>
      <right/>
      <top style="thin">
        <color rgb="FF808080"/>
      </top>
      <bottom style="thin">
        <color rgb="FF808080"/>
      </bottom>
      <diagonal/>
    </border>
    <border>
      <left/>
      <right/>
      <top style="thin">
        <color rgb="FF808080"/>
      </top>
      <bottom style="thin">
        <color rgb="FF808080"/>
      </bottom>
      <diagonal/>
    </border>
    <border>
      <left/>
      <right style="thin">
        <color rgb="FF808080"/>
      </right>
      <top style="thin">
        <color rgb="FF808080"/>
      </top>
      <bottom style="thin">
        <color rgb="FF808080"/>
      </bottom>
      <diagonal/>
    </border>
    <border>
      <left/>
      <right/>
      <top style="thin">
        <color theme="0" tint="-0.499984740745262"/>
      </top>
      <bottom style="thin">
        <color indexed="23"/>
      </bottom>
      <diagonal/>
    </border>
    <border>
      <left/>
      <right/>
      <top/>
      <bottom style="thin">
        <color indexed="64"/>
      </bottom>
      <diagonal/>
    </border>
  </borders>
  <cellStyleXfs count="109">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22" fillId="0" borderId="0" applyFill="0" applyAlignment="0" applyProtection="0"/>
    <xf numFmtId="0" fontId="22" fillId="0" borderId="1" applyFill="0" applyBorder="0" applyProtection="0">
      <alignment horizontal="right"/>
    </xf>
    <xf numFmtId="0" fontId="7" fillId="3" borderId="0" applyNumberFormat="0" applyBorder="0" applyAlignment="0" applyProtection="0"/>
    <xf numFmtId="0" fontId="8" fillId="20" borderId="2" applyNumberFormat="0" applyAlignment="0" applyProtection="0"/>
    <xf numFmtId="0" fontId="9" fillId="21" borderId="3" applyNumberFormat="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10" fillId="0" borderId="0" applyNumberFormat="0" applyFill="0" applyBorder="0" applyAlignment="0" applyProtection="0"/>
    <xf numFmtId="0" fontId="11" fillId="4" borderId="0" applyNumberFormat="0" applyBorder="0" applyAlignment="0" applyProtection="0"/>
    <xf numFmtId="165" fontId="22" fillId="0" borderId="0" applyFill="0" applyProtection="0">
      <alignment horizontal="right"/>
    </xf>
    <xf numFmtId="0" fontId="12" fillId="0" borderId="4" applyNumberFormat="0" applyFill="0" applyAlignment="0" applyProtection="0"/>
    <xf numFmtId="0" fontId="13" fillId="0" borderId="5" applyNumberFormat="0" applyFill="0" applyAlignment="0" applyProtection="0"/>
    <xf numFmtId="0" fontId="14" fillId="0" borderId="6" applyNumberFormat="0" applyFill="0" applyAlignment="0" applyProtection="0"/>
    <xf numFmtId="0" fontId="14" fillId="0" borderId="0" applyNumberFormat="0" applyFill="0" applyBorder="0" applyAlignment="0" applyProtection="0"/>
    <xf numFmtId="0" fontId="15" fillId="7" borderId="2" applyNumberFormat="0" applyAlignment="0" applyProtection="0"/>
    <xf numFmtId="0" fontId="16" fillId="0" borderId="7" applyNumberFormat="0" applyFill="0" applyAlignment="0" applyProtection="0"/>
    <xf numFmtId="0" fontId="17" fillId="22" borderId="0" applyNumberFormat="0" applyBorder="0" applyAlignment="0" applyProtection="0"/>
    <xf numFmtId="0" fontId="4" fillId="0" borderId="0"/>
    <xf numFmtId="0" fontId="4" fillId="0" borderId="0"/>
    <xf numFmtId="0" fontId="4" fillId="23" borderId="8" applyNumberFormat="0" applyFont="0" applyAlignment="0" applyProtection="0"/>
    <xf numFmtId="0" fontId="18" fillId="20" borderId="9"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0" borderId="0" applyNumberForma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23"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656">
    <xf numFmtId="0" fontId="0" fillId="0" borderId="0" xfId="0"/>
    <xf numFmtId="0" fontId="3" fillId="26" borderId="0" xfId="0" applyFont="1" applyFill="1" applyAlignment="1">
      <alignment vertical="center"/>
    </xf>
    <xf numFmtId="0" fontId="31" fillId="26" borderId="23" xfId="0" applyFont="1" applyFill="1" applyBorder="1" applyAlignment="1">
      <alignment vertical="center"/>
    </xf>
    <xf numFmtId="0" fontId="1" fillId="0" borderId="0" xfId="74"/>
    <xf numFmtId="10" fontId="3" fillId="26" borderId="0" xfId="77" applyNumberFormat="1" applyFont="1" applyFill="1" applyBorder="1" applyAlignment="1" applyProtection="1">
      <alignment horizontal="center" vertical="center"/>
    </xf>
    <xf numFmtId="0" fontId="34" fillId="26" borderId="0" xfId="0" applyFont="1" applyFill="1" applyAlignment="1">
      <alignment vertical="center"/>
    </xf>
    <xf numFmtId="0" fontId="3" fillId="26" borderId="0" xfId="0" applyFont="1" applyFill="1" applyAlignment="1">
      <alignment horizontal="center" vertical="center"/>
    </xf>
    <xf numFmtId="0" fontId="39" fillId="26" borderId="0" xfId="0" applyFont="1" applyFill="1" applyAlignment="1">
      <alignment vertical="center"/>
    </xf>
    <xf numFmtId="10" fontId="3" fillId="24" borderId="24" xfId="76" applyNumberFormat="1" applyFont="1" applyFill="1" applyBorder="1" applyAlignment="1" applyProtection="1">
      <alignment horizontal="center" vertical="center"/>
      <protection locked="0"/>
    </xf>
    <xf numFmtId="10" fontId="3" fillId="24" borderId="2" xfId="76" applyNumberFormat="1" applyFont="1" applyFill="1" applyBorder="1" applyAlignment="1" applyProtection="1">
      <alignment vertical="center"/>
      <protection locked="0"/>
    </xf>
    <xf numFmtId="171" fontId="3" fillId="26" borderId="2" xfId="0" applyNumberFormat="1" applyFont="1" applyFill="1" applyBorder="1" applyAlignment="1">
      <alignment vertical="center"/>
    </xf>
    <xf numFmtId="10" fontId="39" fillId="26" borderId="0" xfId="77" applyNumberFormat="1" applyFont="1" applyFill="1" applyBorder="1" applyAlignment="1" applyProtection="1">
      <alignment horizontal="center" vertical="center"/>
    </xf>
    <xf numFmtId="0" fontId="39" fillId="26" borderId="30" xfId="0" applyFont="1" applyFill="1" applyBorder="1" applyAlignment="1">
      <alignment vertical="center"/>
    </xf>
    <xf numFmtId="0" fontId="34" fillId="29" borderId="0" xfId="0" applyFont="1" applyFill="1" applyAlignment="1">
      <alignment vertical="center"/>
    </xf>
    <xf numFmtId="0" fontId="3" fillId="29" borderId="0" xfId="0" applyFont="1" applyFill="1" applyAlignment="1">
      <alignment vertical="center"/>
    </xf>
    <xf numFmtId="166" fontId="37" fillId="31" borderId="33" xfId="0" applyNumberFormat="1" applyFont="1" applyFill="1" applyBorder="1" applyAlignment="1">
      <alignment horizontal="center" vertical="center"/>
    </xf>
    <xf numFmtId="166" fontId="2" fillId="30" borderId="33" xfId="0" applyNumberFormat="1" applyFont="1" applyFill="1" applyBorder="1" applyAlignment="1">
      <alignment horizontal="center" vertical="center"/>
    </xf>
    <xf numFmtId="171" fontId="2" fillId="30" borderId="27" xfId="0" applyNumberFormat="1" applyFont="1" applyFill="1" applyBorder="1" applyAlignment="1">
      <alignment horizontal="center" vertical="center"/>
    </xf>
    <xf numFmtId="44" fontId="31" fillId="26" borderId="26" xfId="75" applyFont="1" applyFill="1" applyBorder="1" applyAlignment="1">
      <alignment horizontal="center" vertical="center"/>
    </xf>
    <xf numFmtId="168" fontId="31" fillId="26" borderId="27" xfId="76" applyNumberFormat="1" applyFont="1" applyFill="1" applyBorder="1" applyAlignment="1">
      <alignment horizontal="center" vertical="center"/>
    </xf>
    <xf numFmtId="0" fontId="31" fillId="24" borderId="2" xfId="0" applyFont="1" applyFill="1" applyBorder="1" applyAlignment="1" applyProtection="1">
      <alignment vertical="center"/>
      <protection locked="0"/>
    </xf>
    <xf numFmtId="0" fontId="31" fillId="24" borderId="27" xfId="0" applyFont="1" applyFill="1" applyBorder="1" applyAlignment="1" applyProtection="1">
      <alignment vertical="center"/>
      <protection locked="0"/>
    </xf>
    <xf numFmtId="44" fontId="31" fillId="24" borderId="2" xfId="75" applyFont="1" applyFill="1" applyBorder="1" applyAlignment="1" applyProtection="1">
      <alignment vertical="center"/>
      <protection locked="0"/>
    </xf>
    <xf numFmtId="10" fontId="3" fillId="29" borderId="2" xfId="76" applyNumberFormat="1" applyFont="1" applyFill="1" applyBorder="1" applyAlignment="1" applyProtection="1">
      <alignment horizontal="center" vertical="center"/>
    </xf>
    <xf numFmtId="2" fontId="3" fillId="29" borderId="0" xfId="76" applyNumberFormat="1" applyFont="1" applyFill="1" applyBorder="1" applyAlignment="1" applyProtection="1">
      <alignment horizontal="center" vertical="center"/>
    </xf>
    <xf numFmtId="10" fontId="3" fillId="28" borderId="2" xfId="0" applyNumberFormat="1" applyFont="1" applyFill="1" applyBorder="1" applyAlignment="1" applyProtection="1">
      <alignment horizontal="center" vertical="center"/>
      <protection locked="0"/>
    </xf>
    <xf numFmtId="3" fontId="3" fillId="28" borderId="2" xfId="30" applyNumberFormat="1" applyFont="1" applyFill="1" applyBorder="1" applyAlignment="1" applyProtection="1">
      <alignment horizontal="center" vertical="center"/>
      <protection locked="0"/>
    </xf>
    <xf numFmtId="10" fontId="3" fillId="26" borderId="27" xfId="77" applyNumberFormat="1" applyFont="1" applyFill="1" applyBorder="1" applyAlignment="1" applyProtection="1">
      <alignment horizontal="center" vertical="center"/>
    </xf>
    <xf numFmtId="10" fontId="3" fillId="0" borderId="26" xfId="76" applyNumberFormat="1" applyFont="1" applyFill="1" applyBorder="1" applyAlignment="1" applyProtection="1">
      <alignment vertical="center"/>
      <protection locked="0"/>
    </xf>
    <xf numFmtId="9" fontId="0" fillId="0" borderId="0" xfId="77" applyFont="1"/>
    <xf numFmtId="170" fontId="31" fillId="0" borderId="2" xfId="75" applyNumberFormat="1" applyFont="1" applyFill="1" applyBorder="1" applyAlignment="1" applyProtection="1">
      <alignment vertical="center"/>
      <protection locked="0"/>
    </xf>
    <xf numFmtId="0" fontId="31" fillId="0" borderId="2" xfId="0" applyFont="1" applyBorder="1" applyAlignment="1" applyProtection="1">
      <alignment vertical="center"/>
      <protection locked="0"/>
    </xf>
    <xf numFmtId="0" fontId="30" fillId="30" borderId="35" xfId="0" applyFont="1" applyFill="1" applyBorder="1" applyAlignment="1">
      <alignment horizontal="center" vertical="center" wrapText="1"/>
    </xf>
    <xf numFmtId="0" fontId="0" fillId="0" borderId="35" xfId="0" applyBorder="1" applyAlignment="1">
      <alignment horizontal="center" vertical="center"/>
    </xf>
    <xf numFmtId="0" fontId="0" fillId="0" borderId="9" xfId="0" applyBorder="1" applyAlignment="1">
      <alignment horizontal="center" vertical="center"/>
    </xf>
    <xf numFmtId="0" fontId="30" fillId="30" borderId="9" xfId="0" applyFont="1" applyFill="1" applyBorder="1" applyAlignment="1">
      <alignment horizontal="center" vertical="center" wrapText="1"/>
    </xf>
    <xf numFmtId="0" fontId="0" fillId="0" borderId="36" xfId="0" applyBorder="1" applyAlignment="1">
      <alignment horizontal="center" vertical="center"/>
    </xf>
    <xf numFmtId="0" fontId="31" fillId="29" borderId="35" xfId="0" applyFont="1" applyFill="1" applyBorder="1" applyAlignment="1">
      <alignment horizontal="center" vertical="center" wrapText="1"/>
    </xf>
    <xf numFmtId="0" fontId="31" fillId="29" borderId="9" xfId="0" applyFont="1" applyFill="1" applyBorder="1" applyAlignment="1">
      <alignment horizontal="center" vertical="center" wrapText="1"/>
    </xf>
    <xf numFmtId="0" fontId="43" fillId="26" borderId="0" xfId="0" applyFont="1" applyFill="1" applyAlignment="1">
      <alignment vertical="center"/>
    </xf>
    <xf numFmtId="0" fontId="43" fillId="26" borderId="0" xfId="0" applyFont="1" applyFill="1" applyAlignment="1">
      <alignment horizontal="center" vertical="center"/>
    </xf>
    <xf numFmtId="0" fontId="43" fillId="26" borderId="0" xfId="0" applyFont="1" applyFill="1" applyAlignment="1">
      <alignment vertical="center" wrapText="1"/>
    </xf>
    <xf numFmtId="0" fontId="39" fillId="29" borderId="0" xfId="0" applyFont="1" applyFill="1" applyAlignment="1">
      <alignment vertical="center"/>
    </xf>
    <xf numFmtId="10" fontId="3" fillId="31" borderId="2" xfId="0" applyNumberFormat="1" applyFont="1" applyFill="1" applyBorder="1" applyAlignment="1" applyProtection="1">
      <alignment horizontal="center" vertical="center"/>
      <protection locked="0"/>
    </xf>
    <xf numFmtId="10" fontId="37" fillId="31" borderId="26" xfId="76" applyNumberFormat="1" applyFont="1" applyFill="1" applyBorder="1" applyAlignment="1" applyProtection="1">
      <alignment vertical="center"/>
      <protection locked="0"/>
    </xf>
    <xf numFmtId="0" fontId="3" fillId="31" borderId="0" xfId="0" applyFont="1" applyFill="1" applyAlignment="1">
      <alignment vertical="center"/>
    </xf>
    <xf numFmtId="0" fontId="3" fillId="28" borderId="2" xfId="0" applyFont="1" applyFill="1" applyBorder="1" applyAlignment="1">
      <alignment vertical="center"/>
    </xf>
    <xf numFmtId="10" fontId="37" fillId="31" borderId="40" xfId="76" applyNumberFormat="1" applyFont="1" applyFill="1" applyBorder="1" applyAlignment="1" applyProtection="1">
      <alignment vertical="center"/>
      <protection locked="0"/>
    </xf>
    <xf numFmtId="10" fontId="3" fillId="31" borderId="39" xfId="0" applyNumberFormat="1" applyFont="1" applyFill="1" applyBorder="1" applyAlignment="1" applyProtection="1">
      <alignment horizontal="center" vertical="center"/>
      <protection locked="0"/>
    </xf>
    <xf numFmtId="0" fontId="1" fillId="29" borderId="0" xfId="74" applyFill="1"/>
    <xf numFmtId="166" fontId="3" fillId="30" borderId="33" xfId="0" applyNumberFormat="1" applyFont="1" applyFill="1" applyBorder="1" applyAlignment="1">
      <alignment horizontal="left" vertical="center"/>
    </xf>
    <xf numFmtId="10" fontId="44" fillId="28" borderId="2" xfId="0" applyNumberFormat="1" applyFont="1" applyFill="1" applyBorder="1" applyAlignment="1" applyProtection="1">
      <alignment horizontal="left" vertical="center"/>
      <protection locked="0"/>
    </xf>
    <xf numFmtId="166" fontId="2" fillId="30" borderId="33" xfId="0" applyNumberFormat="1" applyFont="1" applyFill="1" applyBorder="1" applyAlignment="1">
      <alignment horizontal="left" vertical="center"/>
    </xf>
    <xf numFmtId="0" fontId="1" fillId="29" borderId="41" xfId="74" applyFill="1" applyBorder="1"/>
    <xf numFmtId="0" fontId="1" fillId="29" borderId="42" xfId="74" applyFill="1" applyBorder="1"/>
    <xf numFmtId="3" fontId="0" fillId="0" borderId="9" xfId="0" applyNumberFormat="1" applyBorder="1" applyAlignment="1">
      <alignment horizontal="center" vertical="center"/>
    </xf>
    <xf numFmtId="171" fontId="3" fillId="26" borderId="0" xfId="0" applyNumberFormat="1" applyFont="1" applyFill="1" applyAlignment="1">
      <alignment vertical="center"/>
    </xf>
    <xf numFmtId="10" fontId="3" fillId="29" borderId="0" xfId="76" applyNumberFormat="1" applyFont="1" applyFill="1" applyBorder="1" applyAlignment="1" applyProtection="1">
      <alignment horizontal="center" vertical="center"/>
    </xf>
    <xf numFmtId="10" fontId="2" fillId="29" borderId="55" xfId="76" applyNumberFormat="1" applyFont="1" applyFill="1" applyBorder="1" applyAlignment="1" applyProtection="1">
      <alignment horizontal="center" vertical="center"/>
    </xf>
    <xf numFmtId="0" fontId="26" fillId="29" borderId="15" xfId="74" applyFont="1" applyFill="1" applyBorder="1" applyAlignment="1">
      <alignment vertical="center" wrapText="1"/>
    </xf>
    <xf numFmtId="10" fontId="3" fillId="0" borderId="26" xfId="76" applyNumberFormat="1" applyFont="1" applyFill="1" applyBorder="1" applyAlignment="1" applyProtection="1">
      <alignment horizontal="left" vertical="center"/>
      <protection locked="0"/>
    </xf>
    <xf numFmtId="0" fontId="1" fillId="29" borderId="56" xfId="74" applyFill="1" applyBorder="1"/>
    <xf numFmtId="3" fontId="3" fillId="28" borderId="57" xfId="30" applyNumberFormat="1" applyFont="1" applyFill="1" applyBorder="1" applyAlignment="1" applyProtection="1">
      <alignment horizontal="center" vertical="center"/>
      <protection locked="0"/>
    </xf>
    <xf numFmtId="0" fontId="28" fillId="29" borderId="31" xfId="74" applyFont="1" applyFill="1" applyBorder="1" applyAlignment="1">
      <alignment vertical="center" wrapText="1"/>
    </xf>
    <xf numFmtId="0" fontId="42" fillId="26" borderId="42" xfId="0" applyFont="1" applyFill="1" applyBorder="1" applyAlignment="1">
      <alignment vertical="center"/>
    </xf>
    <xf numFmtId="0" fontId="43" fillId="26" borderId="42" xfId="0" applyFont="1" applyFill="1" applyBorder="1" applyAlignment="1">
      <alignment vertical="center"/>
    </xf>
    <xf numFmtId="0" fontId="38" fillId="31" borderId="45" xfId="0" applyFont="1" applyFill="1" applyBorder="1" applyAlignment="1">
      <alignment horizontal="left" vertical="center"/>
    </xf>
    <xf numFmtId="10" fontId="3" fillId="24" borderId="46" xfId="76" applyNumberFormat="1" applyFont="1" applyFill="1" applyBorder="1" applyAlignment="1" applyProtection="1">
      <alignment horizontal="center" vertical="center"/>
      <protection locked="0"/>
    </xf>
    <xf numFmtId="0" fontId="3" fillId="26" borderId="56" xfId="0" applyFont="1" applyFill="1" applyBorder="1" applyAlignment="1">
      <alignment horizontal="center" vertical="center"/>
    </xf>
    <xf numFmtId="10" fontId="3" fillId="29" borderId="57" xfId="76" applyNumberFormat="1" applyFont="1" applyFill="1" applyBorder="1" applyAlignment="1" applyProtection="1">
      <alignment horizontal="center" vertical="center"/>
    </xf>
    <xf numFmtId="0" fontId="3" fillId="26" borderId="42" xfId="0" applyFont="1" applyFill="1" applyBorder="1" applyAlignment="1">
      <alignment vertical="center"/>
    </xf>
    <xf numFmtId="0" fontId="2" fillId="26" borderId="42" xfId="0" applyFont="1" applyFill="1" applyBorder="1" applyAlignment="1">
      <alignment vertical="center"/>
    </xf>
    <xf numFmtId="0" fontId="3" fillId="29" borderId="42" xfId="0" applyFont="1" applyFill="1" applyBorder="1" applyAlignment="1">
      <alignment vertical="center"/>
    </xf>
    <xf numFmtId="0" fontId="28" fillId="29" borderId="42" xfId="0" applyFont="1" applyFill="1" applyBorder="1" applyAlignment="1">
      <alignment vertical="center"/>
    </xf>
    <xf numFmtId="0" fontId="39" fillId="29" borderId="42" xfId="0" applyFont="1" applyFill="1" applyBorder="1" applyAlignment="1">
      <alignment vertical="center"/>
    </xf>
    <xf numFmtId="0" fontId="3" fillId="31" borderId="61" xfId="0" applyFont="1" applyFill="1" applyBorder="1" applyAlignment="1">
      <alignment vertical="center"/>
    </xf>
    <xf numFmtId="0" fontId="3" fillId="31" borderId="62" xfId="0" applyFont="1" applyFill="1" applyBorder="1" applyAlignment="1">
      <alignment vertical="center"/>
    </xf>
    <xf numFmtId="10" fontId="3" fillId="0" borderId="57" xfId="76" applyNumberFormat="1" applyFont="1" applyFill="1" applyBorder="1" applyAlignment="1" applyProtection="1">
      <alignment horizontal="left" vertical="center"/>
      <protection locked="0"/>
    </xf>
    <xf numFmtId="0" fontId="45" fillId="33" borderId="3" xfId="29" applyFont="1" applyFill="1" applyAlignment="1">
      <alignment horizontal="center" vertical="center"/>
    </xf>
    <xf numFmtId="0" fontId="45" fillId="33" borderId="3" xfId="29" applyFont="1" applyFill="1" applyAlignment="1">
      <alignment horizontal="center" vertical="center" wrapText="1"/>
    </xf>
    <xf numFmtId="10" fontId="46" fillId="0" borderId="26" xfId="76" applyNumberFormat="1" applyFont="1" applyFill="1" applyBorder="1" applyAlignment="1" applyProtection="1">
      <alignment horizontal="left" vertical="center"/>
      <protection locked="0"/>
    </xf>
    <xf numFmtId="0" fontId="34" fillId="26" borderId="42" xfId="0" applyFont="1" applyFill="1" applyBorder="1"/>
    <xf numFmtId="0" fontId="34" fillId="29" borderId="42" xfId="0" applyFont="1" applyFill="1" applyBorder="1"/>
    <xf numFmtId="0" fontId="47" fillId="0" borderId="0" xfId="74" applyFont="1"/>
    <xf numFmtId="0" fontId="3" fillId="26" borderId="0" xfId="74" applyFont="1" applyFill="1" applyAlignment="1">
      <alignment vertical="center" wrapText="1"/>
    </xf>
    <xf numFmtId="0" fontId="3" fillId="26" borderId="18" xfId="74" applyFont="1" applyFill="1" applyBorder="1" applyAlignment="1">
      <alignment vertical="center"/>
    </xf>
    <xf numFmtId="0" fontId="3" fillId="26" borderId="0" xfId="74" applyFont="1" applyFill="1" applyAlignment="1">
      <alignment vertical="center"/>
    </xf>
    <xf numFmtId="0" fontId="2" fillId="26" borderId="18" xfId="74" applyFont="1" applyFill="1" applyBorder="1" applyAlignment="1">
      <alignment vertical="center"/>
    </xf>
    <xf numFmtId="3" fontId="3" fillId="0" borderId="0" xfId="74" applyNumberFormat="1" applyFont="1" applyAlignment="1" applyProtection="1">
      <alignment horizontal="right" vertical="center"/>
      <protection locked="0"/>
    </xf>
    <xf numFmtId="0" fontId="3" fillId="26" borderId="0" xfId="74" applyFont="1" applyFill="1" applyAlignment="1">
      <alignment horizontal="right" vertical="center"/>
    </xf>
    <xf numFmtId="3" fontId="3" fillId="26" borderId="14" xfId="74" applyNumberFormat="1" applyFont="1" applyFill="1" applyBorder="1" applyAlignment="1">
      <alignment horizontal="right" vertical="center"/>
    </xf>
    <xf numFmtId="167" fontId="3" fillId="26" borderId="0" xfId="74" applyNumberFormat="1" applyFont="1" applyFill="1" applyAlignment="1">
      <alignment horizontal="right" vertical="center"/>
    </xf>
    <xf numFmtId="168" fontId="3" fillId="26" borderId="14" xfId="74" applyNumberFormat="1" applyFont="1" applyFill="1" applyBorder="1" applyAlignment="1">
      <alignment horizontal="right" vertical="center"/>
    </xf>
    <xf numFmtId="0" fontId="2" fillId="26" borderId="20" xfId="74" applyFont="1" applyFill="1" applyBorder="1" applyAlignment="1">
      <alignment vertical="center"/>
    </xf>
    <xf numFmtId="168" fontId="3" fillId="26" borderId="0" xfId="74" applyNumberFormat="1" applyFont="1" applyFill="1" applyAlignment="1">
      <alignment horizontal="right" vertical="center"/>
    </xf>
    <xf numFmtId="3" fontId="3" fillId="26" borderId="0" xfId="74" applyNumberFormat="1" applyFont="1" applyFill="1" applyAlignment="1">
      <alignment horizontal="right" vertical="center"/>
    </xf>
    <xf numFmtId="0" fontId="27" fillId="26" borderId="18" xfId="74" applyFont="1" applyFill="1" applyBorder="1" applyAlignment="1">
      <alignment vertical="center"/>
    </xf>
    <xf numFmtId="0" fontId="1" fillId="35" borderId="0" xfId="0" applyFont="1" applyFill="1"/>
    <xf numFmtId="0" fontId="28" fillId="35" borderId="63" xfId="0" applyFont="1" applyFill="1" applyBorder="1" applyAlignment="1">
      <alignment wrapText="1"/>
    </xf>
    <xf numFmtId="0" fontId="3" fillId="26" borderId="17" xfId="74" applyFont="1" applyFill="1" applyBorder="1" applyAlignment="1">
      <alignment vertical="center"/>
    </xf>
    <xf numFmtId="0" fontId="3" fillId="26" borderId="15" xfId="74" applyFont="1" applyFill="1" applyBorder="1" applyAlignment="1">
      <alignment vertical="center"/>
    </xf>
    <xf numFmtId="0" fontId="49" fillId="26" borderId="18" xfId="74" applyFont="1" applyFill="1" applyBorder="1" applyAlignment="1">
      <alignment vertical="center"/>
    </xf>
    <xf numFmtId="0" fontId="3" fillId="26" borderId="20" xfId="74" applyFont="1" applyFill="1" applyBorder="1" applyAlignment="1">
      <alignment vertical="center"/>
    </xf>
    <xf numFmtId="0" fontId="3" fillId="26" borderId="20" xfId="74" applyFont="1" applyFill="1" applyBorder="1" applyAlignment="1">
      <alignment horizontal="right" vertical="center"/>
    </xf>
    <xf numFmtId="167" fontId="3" fillId="26" borderId="15" xfId="74" applyNumberFormat="1" applyFont="1" applyFill="1" applyBorder="1" applyAlignment="1">
      <alignment horizontal="right" vertical="center"/>
    </xf>
    <xf numFmtId="0" fontId="49" fillId="26" borderId="20" xfId="74" applyFont="1" applyFill="1" applyBorder="1" applyAlignment="1">
      <alignment vertical="center"/>
    </xf>
    <xf numFmtId="3" fontId="3" fillId="29" borderId="15" xfId="74" applyNumberFormat="1" applyFont="1" applyFill="1" applyBorder="1" applyAlignment="1" applyProtection="1">
      <alignment horizontal="right" vertical="center"/>
      <protection locked="0"/>
    </xf>
    <xf numFmtId="167" fontId="3" fillId="26" borderId="11" xfId="74" applyNumberFormat="1" applyFont="1" applyFill="1" applyBorder="1" applyAlignment="1">
      <alignment horizontal="right" vertical="center"/>
    </xf>
    <xf numFmtId="167" fontId="3" fillId="26" borderId="32" xfId="74" applyNumberFormat="1" applyFont="1" applyFill="1" applyBorder="1" applyAlignment="1">
      <alignment horizontal="right" vertical="center"/>
    </xf>
    <xf numFmtId="0" fontId="3" fillId="26" borderId="32" xfId="74" applyFont="1" applyFill="1" applyBorder="1" applyAlignment="1">
      <alignment vertical="center"/>
    </xf>
    <xf numFmtId="0" fontId="3" fillId="26" borderId="21" xfId="74" applyFont="1" applyFill="1" applyBorder="1" applyAlignment="1">
      <alignment horizontal="right" vertical="center"/>
    </xf>
    <xf numFmtId="0" fontId="3" fillId="26" borderId="15" xfId="74" applyFont="1" applyFill="1" applyBorder="1" applyAlignment="1">
      <alignment horizontal="right" vertical="center"/>
    </xf>
    <xf numFmtId="0" fontId="27" fillId="27" borderId="11" xfId="74" applyFont="1" applyFill="1" applyBorder="1" applyAlignment="1">
      <alignment vertical="center" wrapText="1"/>
    </xf>
    <xf numFmtId="0" fontId="3" fillId="27" borderId="32" xfId="74" applyFont="1" applyFill="1" applyBorder="1" applyAlignment="1">
      <alignment vertical="center"/>
    </xf>
    <xf numFmtId="3" fontId="3" fillId="0" borderId="20" xfId="74" applyNumberFormat="1" applyFont="1" applyBorder="1" applyAlignment="1" applyProtection="1">
      <alignment horizontal="right" vertical="center"/>
      <protection locked="0"/>
    </xf>
    <xf numFmtId="3" fontId="3" fillId="29" borderId="14" xfId="74" applyNumberFormat="1" applyFont="1" applyFill="1" applyBorder="1" applyAlignment="1">
      <alignment horizontal="right" vertical="center"/>
    </xf>
    <xf numFmtId="0" fontId="3" fillId="26" borderId="11" xfId="74" applyFont="1" applyFill="1" applyBorder="1" applyAlignment="1">
      <alignment horizontal="right" vertical="center"/>
    </xf>
    <xf numFmtId="0" fontId="3" fillId="26" borderId="32" xfId="74" applyFont="1" applyFill="1" applyBorder="1" applyAlignment="1">
      <alignment horizontal="right" vertical="center"/>
    </xf>
    <xf numFmtId="3" fontId="3" fillId="26" borderId="15" xfId="74" applyNumberFormat="1" applyFont="1" applyFill="1" applyBorder="1" applyAlignment="1">
      <alignment horizontal="right" vertical="center"/>
    </xf>
    <xf numFmtId="0" fontId="47" fillId="35" borderId="0" xfId="0" applyFont="1" applyFill="1"/>
    <xf numFmtId="0" fontId="50" fillId="29" borderId="0" xfId="0" applyFont="1" applyFill="1" applyAlignment="1">
      <alignment horizontal="right" vertical="center"/>
    </xf>
    <xf numFmtId="0" fontId="3" fillId="0" borderId="64" xfId="0" applyFont="1" applyBorder="1" applyAlignment="1">
      <alignment horizontal="left" wrapText="1"/>
    </xf>
    <xf numFmtId="0" fontId="3" fillId="0" borderId="64" xfId="0" applyFont="1" applyBorder="1" applyAlignment="1">
      <alignment wrapText="1"/>
    </xf>
    <xf numFmtId="3" fontId="3" fillId="0" borderId="14" xfId="74" applyNumberFormat="1" applyFont="1" applyBorder="1" applyAlignment="1" applyProtection="1">
      <alignment horizontal="right" vertical="center"/>
      <protection locked="0"/>
    </xf>
    <xf numFmtId="169" fontId="3" fillId="26" borderId="0" xfId="74" applyNumberFormat="1" applyFont="1" applyFill="1" applyAlignment="1">
      <alignment vertical="center"/>
    </xf>
    <xf numFmtId="169" fontId="3" fillId="26" borderId="20" xfId="74" applyNumberFormat="1" applyFont="1" applyFill="1" applyBorder="1" applyAlignment="1">
      <alignment vertical="center"/>
    </xf>
    <xf numFmtId="3" fontId="3" fillId="0" borderId="17" xfId="74" applyNumberFormat="1" applyFont="1" applyBorder="1" applyAlignment="1" applyProtection="1">
      <alignment horizontal="right" vertical="center"/>
      <protection locked="0"/>
    </xf>
    <xf numFmtId="3" fontId="3" fillId="0" borderId="18" xfId="74" applyNumberFormat="1" applyFont="1" applyBorder="1" applyAlignment="1" applyProtection="1">
      <alignment horizontal="right" vertical="center"/>
      <protection locked="0"/>
    </xf>
    <xf numFmtId="3" fontId="3" fillId="29" borderId="0" xfId="74" applyNumberFormat="1" applyFont="1" applyFill="1" applyAlignment="1" applyProtection="1">
      <alignment horizontal="right" vertical="center"/>
      <protection locked="0"/>
    </xf>
    <xf numFmtId="0" fontId="37" fillId="37" borderId="64" xfId="0" applyFont="1" applyFill="1" applyBorder="1" applyAlignment="1">
      <alignment vertical="center" wrapText="1"/>
    </xf>
    <xf numFmtId="0" fontId="37" fillId="37" borderId="64" xfId="0" applyFont="1" applyFill="1" applyBorder="1" applyAlignment="1">
      <alignment horizontal="center" vertical="center" wrapText="1"/>
    </xf>
    <xf numFmtId="0" fontId="3" fillId="29" borderId="0" xfId="74" applyFont="1" applyFill="1" applyAlignment="1">
      <alignment horizontal="right" vertical="center"/>
    </xf>
    <xf numFmtId="0" fontId="3" fillId="29" borderId="0" xfId="74" applyFont="1" applyFill="1" applyAlignment="1">
      <alignment vertical="center"/>
    </xf>
    <xf numFmtId="3" fontId="3" fillId="29" borderId="0" xfId="74" applyNumberFormat="1" applyFont="1" applyFill="1" applyAlignment="1">
      <alignment horizontal="right" vertical="center"/>
    </xf>
    <xf numFmtId="0" fontId="3" fillId="29" borderId="20" xfId="74" applyFont="1" applyFill="1" applyBorder="1" applyAlignment="1">
      <alignment vertical="center"/>
    </xf>
    <xf numFmtId="0" fontId="3" fillId="29" borderId="1" xfId="74" applyFont="1" applyFill="1" applyBorder="1" applyAlignment="1">
      <alignment vertical="center"/>
    </xf>
    <xf numFmtId="0" fontId="3" fillId="29" borderId="15" xfId="74" applyFont="1" applyFill="1" applyBorder="1" applyAlignment="1">
      <alignment vertical="center"/>
    </xf>
    <xf numFmtId="169" fontId="3" fillId="29" borderId="0" xfId="74" applyNumberFormat="1" applyFont="1" applyFill="1" applyAlignment="1">
      <alignment vertical="center"/>
    </xf>
    <xf numFmtId="171" fontId="3" fillId="32" borderId="45" xfId="0" applyNumberFormat="1" applyFont="1" applyFill="1" applyBorder="1" applyAlignment="1">
      <alignment horizontal="left" vertical="center" wrapText="1"/>
    </xf>
    <xf numFmtId="0" fontId="40" fillId="26" borderId="25" xfId="0" applyFont="1" applyFill="1" applyBorder="1" applyAlignment="1">
      <alignment horizontal="left" vertical="center"/>
    </xf>
    <xf numFmtId="0" fontId="3" fillId="26" borderId="45" xfId="0" applyFont="1" applyFill="1" applyBorder="1" applyAlignment="1">
      <alignment horizontal="left" vertical="center"/>
    </xf>
    <xf numFmtId="0" fontId="39" fillId="0" borderId="64" xfId="0" applyFont="1" applyBorder="1" applyAlignment="1">
      <alignment wrapText="1"/>
    </xf>
    <xf numFmtId="3" fontId="32" fillId="24" borderId="2" xfId="0" applyNumberFormat="1" applyFont="1" applyFill="1" applyBorder="1" applyAlignment="1" applyProtection="1">
      <alignment vertical="center"/>
      <protection locked="0"/>
    </xf>
    <xf numFmtId="10" fontId="3" fillId="26" borderId="27" xfId="77" quotePrefix="1" applyNumberFormat="1" applyFont="1" applyFill="1" applyBorder="1" applyAlignment="1" applyProtection="1">
      <alignment horizontal="center" vertical="center"/>
    </xf>
    <xf numFmtId="3" fontId="32" fillId="24" borderId="2" xfId="0" applyNumberFormat="1" applyFont="1" applyFill="1" applyBorder="1" applyAlignment="1" applyProtection="1">
      <alignment vertical="center" wrapText="1"/>
      <protection locked="0"/>
    </xf>
    <xf numFmtId="0" fontId="3" fillId="26" borderId="20" xfId="74" applyFont="1" applyFill="1" applyBorder="1" applyAlignment="1">
      <alignment vertical="center" wrapText="1"/>
    </xf>
    <xf numFmtId="166" fontId="3" fillId="26" borderId="15" xfId="74" applyNumberFormat="1" applyFont="1" applyFill="1" applyBorder="1" applyAlignment="1">
      <alignment horizontal="center" vertical="center"/>
    </xf>
    <xf numFmtId="0" fontId="30" fillId="29" borderId="0" xfId="0" applyFont="1" applyFill="1" applyAlignment="1">
      <alignment horizontal="right" vertical="center"/>
    </xf>
    <xf numFmtId="166" fontId="37" fillId="31" borderId="27" xfId="0" applyNumberFormat="1" applyFont="1" applyFill="1" applyBorder="1" applyAlignment="1">
      <alignment horizontal="left" vertical="center"/>
    </xf>
    <xf numFmtId="166" fontId="37" fillId="31" borderId="43" xfId="0" applyNumberFormat="1" applyFont="1" applyFill="1" applyBorder="1" applyAlignment="1">
      <alignment horizontal="center" vertical="center" wrapText="1"/>
    </xf>
    <xf numFmtId="0" fontId="1" fillId="29" borderId="0" xfId="74" applyFill="1" applyAlignment="1">
      <alignment vertical="center"/>
    </xf>
    <xf numFmtId="0" fontId="0" fillId="0" borderId="0" xfId="0" applyAlignment="1">
      <alignment vertical="top"/>
    </xf>
    <xf numFmtId="0" fontId="0" fillId="0" borderId="0" xfId="0" applyAlignment="1">
      <alignment vertical="center"/>
    </xf>
    <xf numFmtId="0" fontId="2" fillId="29" borderId="0" xfId="74" applyFont="1" applyFill="1" applyAlignment="1">
      <alignment horizontal="left" vertical="center" wrapText="1"/>
    </xf>
    <xf numFmtId="166" fontId="3" fillId="30" borderId="33" xfId="0" applyNumberFormat="1" applyFont="1" applyFill="1" applyBorder="1" applyAlignment="1">
      <alignment horizontal="left" vertical="center" indent="1"/>
    </xf>
    <xf numFmtId="0" fontId="26" fillId="29" borderId="50" xfId="74" applyFont="1" applyFill="1" applyBorder="1" applyAlignment="1">
      <alignment vertical="center" wrapText="1"/>
    </xf>
    <xf numFmtId="0" fontId="26" fillId="29" borderId="49" xfId="74" applyFont="1" applyFill="1" applyBorder="1" applyAlignment="1">
      <alignment vertical="center"/>
    </xf>
    <xf numFmtId="0" fontId="26" fillId="29" borderId="50" xfId="74" applyFont="1" applyFill="1" applyBorder="1" applyAlignment="1">
      <alignment vertical="center"/>
    </xf>
    <xf numFmtId="0" fontId="26" fillId="29" borderId="51" xfId="74" applyFont="1" applyFill="1" applyBorder="1" applyAlignment="1">
      <alignment vertical="center"/>
    </xf>
    <xf numFmtId="0" fontId="26" fillId="26" borderId="49" xfId="0" applyFont="1" applyFill="1" applyBorder="1" applyAlignment="1">
      <alignment vertical="center"/>
    </xf>
    <xf numFmtId="0" fontId="26" fillId="26" borderId="50" xfId="0" applyFont="1" applyFill="1" applyBorder="1" applyAlignment="1">
      <alignment vertical="center"/>
    </xf>
    <xf numFmtId="0" fontId="26" fillId="26" borderId="21" xfId="74" applyFont="1" applyFill="1" applyBorder="1" applyAlignment="1">
      <alignment vertical="center"/>
    </xf>
    <xf numFmtId="0" fontId="26" fillId="26" borderId="15" xfId="74" applyFont="1" applyFill="1" applyBorder="1" applyAlignment="1">
      <alignment vertical="center"/>
    </xf>
    <xf numFmtId="0" fontId="52" fillId="35" borderId="0" xfId="0" applyFont="1" applyFill="1" applyAlignment="1">
      <alignment vertical="center"/>
    </xf>
    <xf numFmtId="0" fontId="53" fillId="29" borderId="0" xfId="74" applyFont="1" applyFill="1" applyAlignment="1">
      <alignment vertical="center"/>
    </xf>
    <xf numFmtId="0" fontId="52" fillId="26" borderId="42" xfId="0" applyFont="1" applyFill="1" applyBorder="1" applyAlignment="1">
      <alignment vertical="center"/>
    </xf>
    <xf numFmtId="0" fontId="1" fillId="0" borderId="0" xfId="74" applyAlignment="1">
      <alignment vertical="center"/>
    </xf>
    <xf numFmtId="0" fontId="53" fillId="0" borderId="0" xfId="74" applyFont="1" applyAlignment="1">
      <alignment vertical="center"/>
    </xf>
    <xf numFmtId="0" fontId="52" fillId="29" borderId="0" xfId="74" applyFont="1" applyFill="1" applyAlignment="1">
      <alignment vertical="center"/>
    </xf>
    <xf numFmtId="0" fontId="52" fillId="0" borderId="0" xfId="74" applyFont="1" applyAlignment="1">
      <alignment vertical="center"/>
    </xf>
    <xf numFmtId="0" fontId="54" fillId="29" borderId="0" xfId="74" applyFont="1" applyFill="1" applyAlignment="1">
      <alignment vertical="center"/>
    </xf>
    <xf numFmtId="0" fontId="54" fillId="0" borderId="0" xfId="74" applyFont="1" applyAlignment="1">
      <alignment vertical="center"/>
    </xf>
    <xf numFmtId="166" fontId="37" fillId="31" borderId="28" xfId="0" applyNumberFormat="1" applyFont="1" applyFill="1" applyBorder="1" applyAlignment="1">
      <alignment horizontal="left" vertical="center"/>
    </xf>
    <xf numFmtId="166" fontId="37" fillId="31" borderId="43" xfId="0" applyNumberFormat="1" applyFont="1" applyFill="1" applyBorder="1" applyAlignment="1">
      <alignment horizontal="centerContinuous" vertical="center"/>
    </xf>
    <xf numFmtId="166" fontId="37" fillId="31" borderId="44" xfId="0" applyNumberFormat="1" applyFont="1" applyFill="1" applyBorder="1" applyAlignment="1">
      <alignment horizontal="centerContinuous" vertical="center"/>
    </xf>
    <xf numFmtId="168" fontId="3" fillId="29" borderId="0" xfId="77" applyNumberFormat="1" applyFont="1" applyFill="1" applyBorder="1" applyAlignment="1" applyProtection="1">
      <alignment horizontal="right" vertical="center"/>
      <protection locked="0"/>
    </xf>
    <xf numFmtId="166" fontId="37" fillId="31" borderId="43" xfId="0" applyNumberFormat="1" applyFont="1" applyFill="1" applyBorder="1" applyAlignment="1">
      <alignment horizontal="left" vertical="center" wrapText="1"/>
    </xf>
    <xf numFmtId="0" fontId="3" fillId="24" borderId="14" xfId="0" applyFont="1" applyFill="1" applyBorder="1" applyAlignment="1">
      <alignment vertical="top"/>
    </xf>
    <xf numFmtId="0" fontId="23" fillId="25" borderId="14" xfId="0" applyFont="1" applyFill="1" applyBorder="1" applyAlignment="1">
      <alignment horizontal="center" vertical="top" wrapText="1"/>
    </xf>
    <xf numFmtId="0" fontId="3" fillId="24" borderId="15" xfId="0" applyFont="1" applyFill="1" applyBorder="1" applyAlignment="1">
      <alignment vertical="top"/>
    </xf>
    <xf numFmtId="0" fontId="23" fillId="25" borderId="11" xfId="0" applyFont="1" applyFill="1" applyBorder="1" applyAlignment="1">
      <alignment horizontal="center" vertical="top" wrapText="1"/>
    </xf>
    <xf numFmtId="0" fontId="23" fillId="25" borderId="12" xfId="0" applyFont="1" applyFill="1" applyBorder="1" applyAlignment="1">
      <alignment horizontal="center" vertical="top" wrapText="1"/>
    </xf>
    <xf numFmtId="0" fontId="3" fillId="24" borderId="14" xfId="0" applyFont="1" applyFill="1" applyBorder="1" applyAlignment="1">
      <alignment horizontal="left" vertical="top"/>
    </xf>
    <xf numFmtId="0" fontId="3" fillId="24" borderId="0" xfId="0" applyFont="1" applyFill="1" applyAlignment="1">
      <alignment vertical="top"/>
    </xf>
    <xf numFmtId="0" fontId="3" fillId="0" borderId="14" xfId="0" applyFont="1" applyBorder="1" applyAlignment="1">
      <alignment vertical="top"/>
    </xf>
    <xf numFmtId="0" fontId="3" fillId="24" borderId="20" xfId="0" applyFont="1" applyFill="1" applyBorder="1" applyAlignment="1">
      <alignment vertical="top"/>
    </xf>
    <xf numFmtId="0" fontId="3" fillId="24" borderId="18" xfId="0" applyFont="1" applyFill="1" applyBorder="1" applyAlignment="1">
      <alignment vertical="top"/>
    </xf>
    <xf numFmtId="0" fontId="3" fillId="24" borderId="1" xfId="0" applyFont="1" applyFill="1" applyBorder="1" applyAlignment="1">
      <alignment vertical="top"/>
    </xf>
    <xf numFmtId="0" fontId="23" fillId="25" borderId="17" xfId="0" applyFont="1" applyFill="1" applyBorder="1" applyAlignment="1">
      <alignment horizontal="center" vertical="top" wrapText="1"/>
    </xf>
    <xf numFmtId="0" fontId="3" fillId="24" borderId="27" xfId="0" applyFont="1" applyFill="1" applyBorder="1" applyAlignment="1">
      <alignment vertical="top"/>
    </xf>
    <xf numFmtId="0" fontId="3" fillId="0" borderId="27" xfId="0" applyFont="1" applyBorder="1" applyAlignment="1">
      <alignment vertical="top"/>
    </xf>
    <xf numFmtId="0" fontId="3" fillId="24" borderId="14" xfId="0" applyFont="1" applyFill="1" applyBorder="1" applyAlignment="1">
      <alignment horizontal="left" vertical="top" wrapText="1"/>
    </xf>
    <xf numFmtId="0" fontId="3" fillId="0" borderId="0" xfId="0" applyFont="1" applyAlignment="1">
      <alignment vertical="top"/>
    </xf>
    <xf numFmtId="0" fontId="23" fillId="25" borderId="11" xfId="0" applyFont="1" applyFill="1" applyBorder="1" applyAlignment="1">
      <alignment vertical="top" wrapText="1"/>
    </xf>
    <xf numFmtId="0" fontId="23" fillId="25" borderId="32" xfId="0" applyFont="1" applyFill="1" applyBorder="1" applyAlignment="1">
      <alignment vertical="top" wrapText="1"/>
    </xf>
    <xf numFmtId="0" fontId="23" fillId="25" borderId="12" xfId="0" applyFont="1" applyFill="1" applyBorder="1" applyAlignment="1">
      <alignment vertical="top" wrapText="1"/>
    </xf>
    <xf numFmtId="0" fontId="3" fillId="24" borderId="16" xfId="0" applyFont="1" applyFill="1" applyBorder="1" applyAlignment="1">
      <alignment vertical="top"/>
    </xf>
    <xf numFmtId="0" fontId="3" fillId="24" borderId="19" xfId="0" applyFont="1" applyFill="1" applyBorder="1" applyAlignment="1">
      <alignment vertical="top"/>
    </xf>
    <xf numFmtId="0" fontId="3" fillId="24" borderId="13" xfId="0" applyFont="1" applyFill="1" applyBorder="1" applyAlignment="1">
      <alignment vertical="top"/>
    </xf>
    <xf numFmtId="0" fontId="3" fillId="26" borderId="0" xfId="74" applyFont="1" applyFill="1" applyAlignment="1">
      <alignment horizontal="center" vertical="center"/>
    </xf>
    <xf numFmtId="0" fontId="28" fillId="26" borderId="67" xfId="74" applyFont="1" applyFill="1" applyBorder="1" applyAlignment="1">
      <alignment vertical="center"/>
    </xf>
    <xf numFmtId="172" fontId="28" fillId="26" borderId="65" xfId="74" quotePrefix="1" applyNumberFormat="1" applyFont="1" applyFill="1" applyBorder="1" applyAlignment="1">
      <alignment horizontal="center" vertical="center"/>
    </xf>
    <xf numFmtId="0" fontId="36" fillId="38" borderId="0" xfId="0" applyFont="1" applyFill="1" applyAlignment="1">
      <alignment horizontal="left" vertical="center" wrapText="1"/>
    </xf>
    <xf numFmtId="0" fontId="38" fillId="38" borderId="0" xfId="0" applyFont="1" applyFill="1" applyAlignment="1">
      <alignment vertical="center" wrapText="1"/>
    </xf>
    <xf numFmtId="0" fontId="37" fillId="38" borderId="0" xfId="0" applyFont="1" applyFill="1" applyAlignment="1">
      <alignment horizontal="right" vertical="center"/>
    </xf>
    <xf numFmtId="0" fontId="38" fillId="38" borderId="0" xfId="0" applyFont="1" applyFill="1" applyAlignment="1">
      <alignment horizontal="left" vertical="center" wrapText="1"/>
    </xf>
    <xf numFmtId="0" fontId="38" fillId="31" borderId="45" xfId="0" applyFont="1" applyFill="1" applyBorder="1" applyAlignment="1">
      <alignment horizontal="right" vertical="center"/>
    </xf>
    <xf numFmtId="168" fontId="31" fillId="26" borderId="66" xfId="76" applyNumberFormat="1" applyFont="1" applyFill="1" applyBorder="1" applyAlignment="1">
      <alignment horizontal="center" vertical="center"/>
    </xf>
    <xf numFmtId="0" fontId="30" fillId="30" borderId="69" xfId="0" applyFont="1" applyFill="1" applyBorder="1" applyAlignment="1">
      <alignment horizontal="center" vertical="center" wrapText="1"/>
    </xf>
    <xf numFmtId="44" fontId="30" fillId="30" borderId="69" xfId="75" applyFont="1" applyFill="1" applyBorder="1" applyAlignment="1" applyProtection="1">
      <alignment horizontal="center" vertical="center" wrapText="1"/>
    </xf>
    <xf numFmtId="3" fontId="33" fillId="30" borderId="69" xfId="0" applyNumberFormat="1" applyFont="1" applyFill="1" applyBorder="1" applyAlignment="1">
      <alignment horizontal="center" vertical="center" wrapText="1"/>
    </xf>
    <xf numFmtId="3" fontId="33" fillId="30" borderId="70" xfId="0" applyNumberFormat="1" applyFont="1" applyFill="1" applyBorder="1" applyAlignment="1">
      <alignment horizontal="center" vertical="center" wrapText="1"/>
    </xf>
    <xf numFmtId="0" fontId="30" fillId="30" borderId="70" xfId="0" applyFont="1" applyFill="1" applyBorder="1" applyAlignment="1">
      <alignment horizontal="center" vertical="center" wrapText="1"/>
    </xf>
    <xf numFmtId="0" fontId="30" fillId="30" borderId="71" xfId="0" applyFont="1" applyFill="1" applyBorder="1" applyAlignment="1">
      <alignment horizontal="center" vertical="center" wrapText="1"/>
    </xf>
    <xf numFmtId="0" fontId="30" fillId="30" borderId="72" xfId="0" applyFont="1" applyFill="1" applyBorder="1" applyAlignment="1">
      <alignment horizontal="center" vertical="center" wrapText="1"/>
    </xf>
    <xf numFmtId="0" fontId="30" fillId="30" borderId="73" xfId="0" applyFont="1" applyFill="1" applyBorder="1" applyAlignment="1">
      <alignment horizontal="center" vertical="center" wrapText="1"/>
    </xf>
    <xf numFmtId="0" fontId="38" fillId="29" borderId="0" xfId="0" applyFont="1" applyFill="1" applyAlignment="1">
      <alignment horizontal="centerContinuous" vertical="center"/>
    </xf>
    <xf numFmtId="0" fontId="38" fillId="29" borderId="0" xfId="0" applyFont="1" applyFill="1" applyAlignment="1">
      <alignment horizontal="centerContinuous" vertical="center" wrapText="1"/>
    </xf>
    <xf numFmtId="0" fontId="38" fillId="31" borderId="42" xfId="0" applyFont="1" applyFill="1" applyBorder="1" applyAlignment="1">
      <alignment horizontal="center" vertical="center"/>
    </xf>
    <xf numFmtId="0" fontId="26" fillId="38" borderId="0" xfId="0" applyFont="1" applyFill="1" applyAlignment="1">
      <alignment horizontal="left" vertical="center"/>
    </xf>
    <xf numFmtId="0" fontId="1" fillId="39" borderId="0" xfId="0" applyFont="1" applyFill="1" applyAlignment="1">
      <alignment horizontal="center" vertical="center"/>
    </xf>
    <xf numFmtId="166" fontId="3" fillId="32" borderId="33" xfId="0" applyNumberFormat="1" applyFont="1" applyFill="1" applyBorder="1" applyAlignment="1">
      <alignment horizontal="left" vertical="center"/>
    </xf>
    <xf numFmtId="0" fontId="59" fillId="29" borderId="42" xfId="74" applyFont="1" applyFill="1" applyBorder="1" applyAlignment="1">
      <alignment vertical="center"/>
    </xf>
    <xf numFmtId="0" fontId="63" fillId="29" borderId="42" xfId="74" applyFont="1" applyFill="1" applyBorder="1" applyAlignment="1">
      <alignment vertical="center"/>
    </xf>
    <xf numFmtId="0" fontId="58" fillId="29" borderId="0" xfId="74" applyFont="1" applyFill="1" applyAlignment="1">
      <alignment vertical="center"/>
    </xf>
    <xf numFmtId="0" fontId="0" fillId="29" borderId="0" xfId="0" applyFill="1"/>
    <xf numFmtId="0" fontId="1" fillId="29" borderId="0" xfId="0" applyFont="1" applyFill="1"/>
    <xf numFmtId="0" fontId="56" fillId="29" borderId="0" xfId="74" applyFont="1" applyFill="1" applyAlignment="1">
      <alignment vertical="center"/>
    </xf>
    <xf numFmtId="0" fontId="3" fillId="26" borderId="0" xfId="0" applyFont="1" applyFill="1" applyAlignment="1">
      <alignment horizontal="left" vertical="center"/>
    </xf>
    <xf numFmtId="166" fontId="2" fillId="30" borderId="75" xfId="0" applyNumberFormat="1" applyFont="1" applyFill="1" applyBorder="1" applyAlignment="1">
      <alignment horizontal="center" vertical="center"/>
    </xf>
    <xf numFmtId="166" fontId="2" fillId="30" borderId="74" xfId="0" applyNumberFormat="1" applyFont="1" applyFill="1" applyBorder="1" applyAlignment="1">
      <alignment horizontal="center" vertical="center"/>
    </xf>
    <xf numFmtId="166" fontId="37" fillId="31" borderId="75" xfId="0" applyNumberFormat="1" applyFont="1" applyFill="1" applyBorder="1" applyAlignment="1">
      <alignment horizontal="left" vertical="center"/>
    </xf>
    <xf numFmtId="166" fontId="37" fillId="31" borderId="66" xfId="0" applyNumberFormat="1" applyFont="1" applyFill="1" applyBorder="1" applyAlignment="1">
      <alignment horizontal="left" vertical="center"/>
    </xf>
    <xf numFmtId="0" fontId="56" fillId="29" borderId="0" xfId="74" applyFont="1" applyFill="1" applyAlignment="1">
      <alignment horizontal="left" vertical="center"/>
    </xf>
    <xf numFmtId="166" fontId="37" fillId="31" borderId="49" xfId="0" applyNumberFormat="1" applyFont="1" applyFill="1" applyBorder="1" applyAlignment="1">
      <alignment horizontal="left" vertical="center"/>
    </xf>
    <xf numFmtId="166" fontId="37" fillId="31" borderId="50" xfId="0" applyNumberFormat="1" applyFont="1" applyFill="1" applyBorder="1" applyAlignment="1">
      <alignment horizontal="left" vertical="center"/>
    </xf>
    <xf numFmtId="166" fontId="37" fillId="31" borderId="51" xfId="0" applyNumberFormat="1" applyFont="1" applyFill="1" applyBorder="1" applyAlignment="1">
      <alignment horizontal="left" vertical="center"/>
    </xf>
    <xf numFmtId="166" fontId="37" fillId="31" borderId="59" xfId="0" applyNumberFormat="1" applyFont="1" applyFill="1" applyBorder="1" applyAlignment="1">
      <alignment horizontal="left" vertical="center"/>
    </xf>
    <xf numFmtId="166" fontId="37" fillId="31" borderId="60" xfId="0" applyNumberFormat="1" applyFont="1" applyFill="1" applyBorder="1" applyAlignment="1">
      <alignment horizontal="left" vertical="center"/>
    </xf>
    <xf numFmtId="166" fontId="37" fillId="31" borderId="50" xfId="0" applyNumberFormat="1" applyFont="1" applyFill="1" applyBorder="1" applyAlignment="1">
      <alignment horizontal="center" vertical="center" wrapText="1"/>
    </xf>
    <xf numFmtId="166" fontId="64" fillId="31" borderId="58" xfId="0" applyNumberFormat="1" applyFont="1" applyFill="1" applyBorder="1" applyAlignment="1">
      <alignment horizontal="left" vertical="center"/>
    </xf>
    <xf numFmtId="168" fontId="56" fillId="29" borderId="76" xfId="77" applyNumberFormat="1" applyFont="1" applyFill="1" applyBorder="1" applyAlignment="1">
      <alignment horizontal="right" vertical="center"/>
    </xf>
    <xf numFmtId="168" fontId="56" fillId="29" borderId="77" xfId="77" applyNumberFormat="1" applyFont="1" applyFill="1" applyBorder="1" applyAlignment="1">
      <alignment horizontal="right" vertical="center"/>
    </xf>
    <xf numFmtId="168" fontId="56" fillId="29" borderId="0" xfId="77" applyNumberFormat="1" applyFont="1" applyFill="1" applyBorder="1" applyAlignment="1">
      <alignment horizontal="right" vertical="center"/>
    </xf>
    <xf numFmtId="168" fontId="56" fillId="29" borderId="79" xfId="77" applyNumberFormat="1" applyFont="1" applyFill="1" applyBorder="1" applyAlignment="1">
      <alignment horizontal="right" vertical="center"/>
    </xf>
    <xf numFmtId="166" fontId="37" fillId="31" borderId="48" xfId="0" applyNumberFormat="1" applyFont="1" applyFill="1" applyBorder="1" applyAlignment="1">
      <alignment horizontal="center" vertical="center" wrapText="1"/>
    </xf>
    <xf numFmtId="166" fontId="37" fillId="31" borderId="49" xfId="0" applyNumberFormat="1" applyFont="1" applyFill="1" applyBorder="1" applyAlignment="1">
      <alignment horizontal="center" vertical="center" wrapText="1"/>
    </xf>
    <xf numFmtId="166" fontId="64" fillId="31" borderId="48" xfId="0" applyNumberFormat="1" applyFont="1" applyFill="1" applyBorder="1" applyAlignment="1">
      <alignment horizontal="left" vertical="center"/>
    </xf>
    <xf numFmtId="0" fontId="56" fillId="29" borderId="40" xfId="74" applyFont="1" applyFill="1" applyBorder="1" applyAlignment="1">
      <alignment vertical="center"/>
    </xf>
    <xf numFmtId="0" fontId="56" fillId="29" borderId="78" xfId="74" applyFont="1" applyFill="1" applyBorder="1" applyAlignment="1">
      <alignment vertical="center"/>
    </xf>
    <xf numFmtId="0" fontId="56" fillId="29" borderId="78" xfId="74" applyFont="1" applyFill="1" applyBorder="1" applyAlignment="1">
      <alignment horizontal="left" vertical="center" indent="1"/>
    </xf>
    <xf numFmtId="0" fontId="66" fillId="29" borderId="0" xfId="74" applyFont="1" applyFill="1" applyAlignment="1">
      <alignment horizontal="center" vertical="center"/>
    </xf>
    <xf numFmtId="0" fontId="56" fillId="29" borderId="42" xfId="0" applyFont="1" applyFill="1" applyBorder="1" applyAlignment="1">
      <alignment vertical="center"/>
    </xf>
    <xf numFmtId="0" fontId="31" fillId="0" borderId="66" xfId="0" applyFont="1" applyBorder="1" applyAlignment="1" applyProtection="1">
      <alignment vertical="center"/>
      <protection locked="0"/>
    </xf>
    <xf numFmtId="0" fontId="31" fillId="0" borderId="27" xfId="0" applyFont="1" applyBorder="1" applyAlignment="1" applyProtection="1">
      <alignment vertical="center"/>
      <protection locked="0"/>
    </xf>
    <xf numFmtId="170" fontId="31" fillId="29" borderId="66" xfId="75" applyNumberFormat="1" applyFont="1" applyFill="1" applyBorder="1" applyAlignment="1">
      <alignment vertical="center"/>
    </xf>
    <xf numFmtId="0" fontId="3" fillId="26" borderId="82" xfId="74" applyFont="1" applyFill="1" applyBorder="1" applyAlignment="1">
      <alignment vertical="center"/>
    </xf>
    <xf numFmtId="168" fontId="3" fillId="26" borderId="32" xfId="74" applyNumberFormat="1" applyFont="1" applyFill="1" applyBorder="1" applyAlignment="1">
      <alignment horizontal="right" vertical="center"/>
    </xf>
    <xf numFmtId="0" fontId="2" fillId="26" borderId="21" xfId="74" applyFont="1" applyFill="1" applyBorder="1" applyAlignment="1">
      <alignment vertical="center"/>
    </xf>
    <xf numFmtId="168" fontId="3" fillId="26" borderId="15" xfId="74" applyNumberFormat="1" applyFont="1" applyFill="1" applyBorder="1" applyAlignment="1">
      <alignment horizontal="right" vertical="center"/>
    </xf>
    <xf numFmtId="0" fontId="2" fillId="26" borderId="0" xfId="74" applyFont="1" applyFill="1" applyAlignment="1">
      <alignment vertical="center"/>
    </xf>
    <xf numFmtId="0" fontId="2" fillId="26" borderId="1" xfId="74" applyFont="1" applyFill="1" applyBorder="1" applyAlignment="1">
      <alignment vertical="center"/>
    </xf>
    <xf numFmtId="0" fontId="49" fillId="26" borderId="0" xfId="74" applyFont="1" applyFill="1" applyAlignment="1">
      <alignment vertical="center"/>
    </xf>
    <xf numFmtId="0" fontId="3" fillId="27" borderId="11" xfId="74" applyFont="1" applyFill="1" applyBorder="1" applyAlignment="1">
      <alignment vertical="center"/>
    </xf>
    <xf numFmtId="3" fontId="3" fillId="29" borderId="20" xfId="74" applyNumberFormat="1" applyFont="1" applyFill="1" applyBorder="1" applyAlignment="1">
      <alignment horizontal="right" vertical="center"/>
    </xf>
    <xf numFmtId="0" fontId="3" fillId="29" borderId="20" xfId="74" applyFont="1" applyFill="1" applyBorder="1" applyAlignment="1">
      <alignment horizontal="right" vertical="center"/>
    </xf>
    <xf numFmtId="3" fontId="3" fillId="29" borderId="20" xfId="74" applyNumberFormat="1" applyFont="1" applyFill="1" applyBorder="1" applyAlignment="1" applyProtection="1">
      <alignment horizontal="right" vertical="center"/>
      <protection locked="0"/>
    </xf>
    <xf numFmtId="0" fontId="67" fillId="26" borderId="42" xfId="0" applyFont="1" applyFill="1" applyBorder="1" applyAlignment="1">
      <alignment vertical="center"/>
    </xf>
    <xf numFmtId="10" fontId="67" fillId="26" borderId="0" xfId="103" applyNumberFormat="1" applyFont="1" applyFill="1" applyBorder="1" applyAlignment="1" applyProtection="1">
      <alignment horizontal="center" vertical="center"/>
    </xf>
    <xf numFmtId="2" fontId="67" fillId="29" borderId="0" xfId="76" applyNumberFormat="1" applyFont="1" applyFill="1" applyBorder="1" applyAlignment="1" applyProtection="1">
      <alignment horizontal="center" vertical="center"/>
    </xf>
    <xf numFmtId="0" fontId="67" fillId="26" borderId="0" xfId="0" applyFont="1" applyFill="1" applyAlignment="1">
      <alignment horizontal="left" vertical="center"/>
    </xf>
    <xf numFmtId="0" fontId="68" fillId="0" borderId="0" xfId="0" applyFont="1"/>
    <xf numFmtId="166" fontId="37" fillId="31" borderId="38" xfId="0" applyNumberFormat="1" applyFont="1" applyFill="1" applyBorder="1" applyAlignment="1">
      <alignment horizontal="center" vertical="center"/>
    </xf>
    <xf numFmtId="166" fontId="3" fillId="30" borderId="49" xfId="0" applyNumberFormat="1" applyFont="1" applyFill="1" applyBorder="1" applyAlignment="1">
      <alignment horizontal="left" vertical="center"/>
    </xf>
    <xf numFmtId="0" fontId="53" fillId="29" borderId="83" xfId="74" applyFont="1" applyFill="1" applyBorder="1" applyAlignment="1">
      <alignment vertical="center"/>
    </xf>
    <xf numFmtId="166" fontId="3" fillId="30" borderId="84" xfId="0" applyNumberFormat="1" applyFont="1" applyFill="1" applyBorder="1" applyAlignment="1">
      <alignment horizontal="left" vertical="center"/>
    </xf>
    <xf numFmtId="0" fontId="53" fillId="29" borderId="85" xfId="74" applyFont="1" applyFill="1" applyBorder="1" applyAlignment="1">
      <alignment vertical="center"/>
    </xf>
    <xf numFmtId="0" fontId="53" fillId="29" borderId="87" xfId="74" applyFont="1" applyFill="1" applyBorder="1" applyAlignment="1">
      <alignment vertical="center"/>
    </xf>
    <xf numFmtId="166" fontId="3" fillId="30" borderId="88" xfId="0" applyNumberFormat="1" applyFont="1" applyFill="1" applyBorder="1" applyAlignment="1">
      <alignment horizontal="left" vertical="center"/>
    </xf>
    <xf numFmtId="0" fontId="53" fillId="29" borderId="89" xfId="74" applyFont="1" applyFill="1" applyBorder="1" applyAlignment="1">
      <alignment vertical="center"/>
    </xf>
    <xf numFmtId="0" fontId="53" fillId="29" borderId="90" xfId="74" applyFont="1" applyFill="1" applyBorder="1" applyAlignment="1">
      <alignment vertical="center"/>
    </xf>
    <xf numFmtId="0" fontId="53" fillId="29" borderId="92" xfId="74" applyFont="1" applyFill="1" applyBorder="1" applyAlignment="1">
      <alignment vertical="center"/>
    </xf>
    <xf numFmtId="0" fontId="56" fillId="29" borderId="86" xfId="74" applyFont="1" applyFill="1" applyBorder="1" applyAlignment="1">
      <alignment horizontal="left" vertical="center"/>
    </xf>
    <xf numFmtId="0" fontId="53" fillId="29" borderId="93" xfId="74" applyFont="1" applyFill="1" applyBorder="1" applyAlignment="1">
      <alignment vertical="center"/>
    </xf>
    <xf numFmtId="0" fontId="53" fillId="29" borderId="94" xfId="74" applyFont="1" applyFill="1" applyBorder="1" applyAlignment="1">
      <alignment vertical="center"/>
    </xf>
    <xf numFmtId="0" fontId="56" fillId="29" borderId="84" xfId="74" applyFont="1" applyFill="1" applyBorder="1" applyAlignment="1">
      <alignment horizontal="left" vertical="center"/>
    </xf>
    <xf numFmtId="0" fontId="56" fillId="29" borderId="95" xfId="74" applyFont="1" applyFill="1" applyBorder="1" applyAlignment="1">
      <alignment horizontal="left" vertical="center"/>
    </xf>
    <xf numFmtId="0" fontId="56" fillId="29" borderId="96" xfId="74" applyFont="1" applyFill="1" applyBorder="1" applyAlignment="1">
      <alignment horizontal="left" vertical="center"/>
    </xf>
    <xf numFmtId="0" fontId="56" fillId="29" borderId="97" xfId="74" applyFont="1" applyFill="1" applyBorder="1" applyAlignment="1">
      <alignment horizontal="left" vertical="center"/>
    </xf>
    <xf numFmtId="0" fontId="53" fillId="29" borderId="98" xfId="74" applyFont="1" applyFill="1" applyBorder="1" applyAlignment="1">
      <alignment vertical="center"/>
    </xf>
    <xf numFmtId="0" fontId="0" fillId="29" borderId="0" xfId="74" applyFont="1" applyFill="1" applyAlignment="1">
      <alignment vertical="center"/>
    </xf>
    <xf numFmtId="168" fontId="53" fillId="29" borderId="0" xfId="74" applyNumberFormat="1" applyFont="1" applyFill="1" applyAlignment="1">
      <alignment vertical="center"/>
    </xf>
    <xf numFmtId="3" fontId="53" fillId="29" borderId="0" xfId="74" applyNumberFormat="1" applyFont="1" applyFill="1" applyAlignment="1">
      <alignment vertical="center"/>
    </xf>
    <xf numFmtId="14" fontId="53" fillId="29" borderId="0" xfId="74" applyNumberFormat="1" applyFont="1" applyFill="1" applyAlignment="1">
      <alignment vertical="center"/>
    </xf>
    <xf numFmtId="2" fontId="53" fillId="29" borderId="0" xfId="74" applyNumberFormat="1" applyFont="1" applyFill="1" applyAlignment="1">
      <alignment vertical="center"/>
    </xf>
    <xf numFmtId="166" fontId="37" fillId="31" borderId="100" xfId="0" applyNumberFormat="1" applyFont="1" applyFill="1" applyBorder="1" applyAlignment="1">
      <alignment horizontal="centerContinuous" vertical="center"/>
    </xf>
    <xf numFmtId="168" fontId="3" fillId="28" borderId="26" xfId="30" applyNumberFormat="1" applyFont="1" applyFill="1" applyBorder="1" applyAlignment="1" applyProtection="1">
      <alignment horizontal="center" vertical="center"/>
      <protection locked="0"/>
    </xf>
    <xf numFmtId="0" fontId="51" fillId="0" borderId="0" xfId="0" applyFont="1"/>
    <xf numFmtId="168" fontId="31" fillId="29" borderId="66" xfId="103" applyNumberFormat="1" applyFont="1" applyFill="1" applyBorder="1" applyAlignment="1">
      <alignment vertical="center"/>
    </xf>
    <xf numFmtId="168" fontId="32" fillId="24" borderId="2" xfId="0" applyNumberFormat="1" applyFont="1" applyFill="1" applyBorder="1" applyAlignment="1" applyProtection="1">
      <alignment vertical="center"/>
      <protection locked="0"/>
    </xf>
    <xf numFmtId="168" fontId="31" fillId="29" borderId="27" xfId="103" applyNumberFormat="1" applyFont="1" applyFill="1" applyBorder="1" applyAlignment="1">
      <alignment vertical="center"/>
    </xf>
    <xf numFmtId="168" fontId="3" fillId="29" borderId="91" xfId="103" applyNumberFormat="1" applyFont="1" applyFill="1" applyBorder="1" applyAlignment="1" applyProtection="1">
      <alignment horizontal="right" vertical="center"/>
      <protection locked="0"/>
    </xf>
    <xf numFmtId="0" fontId="2" fillId="26" borderId="0" xfId="0" applyFont="1" applyFill="1" applyAlignment="1">
      <alignment vertical="center"/>
    </xf>
    <xf numFmtId="168" fontId="3" fillId="29" borderId="89" xfId="103" applyNumberFormat="1" applyFont="1" applyFill="1" applyBorder="1" applyAlignment="1" applyProtection="1">
      <alignment horizontal="right" vertical="center"/>
      <protection locked="0"/>
    </xf>
    <xf numFmtId="168" fontId="3" fillId="29" borderId="90" xfId="103" applyNumberFormat="1" applyFont="1" applyFill="1" applyBorder="1" applyAlignment="1" applyProtection="1">
      <alignment horizontal="right" vertical="center"/>
      <protection locked="0"/>
    </xf>
    <xf numFmtId="3" fontId="56" fillId="29" borderId="0" xfId="77" applyNumberFormat="1" applyFont="1" applyFill="1" applyBorder="1" applyAlignment="1">
      <alignment horizontal="right" vertical="center"/>
    </xf>
    <xf numFmtId="166" fontId="2" fillId="30" borderId="75" xfId="0" applyNumberFormat="1" applyFont="1" applyFill="1" applyBorder="1" applyAlignment="1">
      <alignment horizontal="right" vertical="center"/>
    </xf>
    <xf numFmtId="166" fontId="2" fillId="30" borderId="74" xfId="0" applyNumberFormat="1" applyFont="1" applyFill="1" applyBorder="1" applyAlignment="1">
      <alignment horizontal="right" vertical="center"/>
    </xf>
    <xf numFmtId="166" fontId="2" fillId="30" borderId="62" xfId="0" applyNumberFormat="1" applyFont="1" applyFill="1" applyBorder="1" applyAlignment="1">
      <alignment horizontal="right" vertical="center"/>
    </xf>
    <xf numFmtId="166" fontId="3" fillId="30" borderId="75" xfId="0" applyNumberFormat="1" applyFont="1" applyFill="1" applyBorder="1" applyAlignment="1">
      <alignment horizontal="right" vertical="center"/>
    </xf>
    <xf numFmtId="166" fontId="2" fillId="30" borderId="75" xfId="0" applyNumberFormat="1" applyFont="1" applyFill="1" applyBorder="1" applyAlignment="1">
      <alignment horizontal="centerContinuous" vertical="center"/>
    </xf>
    <xf numFmtId="166" fontId="3" fillId="30" borderId="102" xfId="0" applyNumberFormat="1" applyFont="1" applyFill="1" applyBorder="1" applyAlignment="1">
      <alignment horizontal="left" vertical="center" indent="1"/>
    </xf>
    <xf numFmtId="166" fontId="3" fillId="30" borderId="103" xfId="0" applyNumberFormat="1" applyFont="1" applyFill="1" applyBorder="1" applyAlignment="1">
      <alignment horizontal="left" vertical="center" indent="1"/>
    </xf>
    <xf numFmtId="166" fontId="3" fillId="30" borderId="104" xfId="0" applyNumberFormat="1" applyFont="1" applyFill="1" applyBorder="1" applyAlignment="1">
      <alignment horizontal="left" vertical="center"/>
    </xf>
    <xf numFmtId="175" fontId="3" fillId="29" borderId="25" xfId="78" applyNumberFormat="1" applyFont="1" applyFill="1" applyBorder="1" applyAlignment="1" applyProtection="1">
      <alignment horizontal="right" vertical="center"/>
      <protection locked="0"/>
    </xf>
    <xf numFmtId="175" fontId="3" fillId="29" borderId="101" xfId="78" applyNumberFormat="1" applyFont="1" applyFill="1" applyBorder="1" applyAlignment="1" applyProtection="1">
      <alignment horizontal="right" vertical="center"/>
      <protection locked="0"/>
    </xf>
    <xf numFmtId="0" fontId="53" fillId="44" borderId="0" xfId="74" applyFont="1" applyFill="1" applyAlignment="1">
      <alignment vertical="center"/>
    </xf>
    <xf numFmtId="0" fontId="53" fillId="44" borderId="89" xfId="74" applyFont="1" applyFill="1" applyBorder="1" applyAlignment="1">
      <alignment vertical="center"/>
    </xf>
    <xf numFmtId="0" fontId="53" fillId="44" borderId="87" xfId="74" applyFont="1" applyFill="1" applyBorder="1" applyAlignment="1">
      <alignment vertical="center"/>
    </xf>
    <xf numFmtId="0" fontId="53" fillId="44" borderId="90" xfId="74" applyFont="1" applyFill="1" applyBorder="1" applyAlignment="1">
      <alignment vertical="center"/>
    </xf>
    <xf numFmtId="0" fontId="53" fillId="44" borderId="83" xfId="74" applyFont="1" applyFill="1" applyBorder="1" applyAlignment="1">
      <alignment vertical="center"/>
    </xf>
    <xf numFmtId="0" fontId="53" fillId="44" borderId="85" xfId="74" applyFont="1" applyFill="1" applyBorder="1" applyAlignment="1">
      <alignment vertical="center"/>
    </xf>
    <xf numFmtId="0" fontId="53" fillId="44" borderId="99" xfId="74" applyFont="1" applyFill="1" applyBorder="1" applyAlignment="1">
      <alignment vertical="center"/>
    </xf>
    <xf numFmtId="3" fontId="56" fillId="29" borderId="50" xfId="77" applyNumberFormat="1" applyFont="1" applyFill="1" applyBorder="1" applyAlignment="1">
      <alignment horizontal="right" vertical="center"/>
    </xf>
    <xf numFmtId="3" fontId="56" fillId="29" borderId="56" xfId="77" applyNumberFormat="1" applyFont="1" applyFill="1" applyBorder="1" applyAlignment="1">
      <alignment horizontal="right" vertical="center"/>
    </xf>
    <xf numFmtId="3" fontId="58" fillId="29" borderId="60" xfId="77" applyNumberFormat="1" applyFont="1" applyFill="1" applyBorder="1" applyAlignment="1">
      <alignment horizontal="right" vertical="center"/>
    </xf>
    <xf numFmtId="3" fontId="56" fillId="44" borderId="0" xfId="77" applyNumberFormat="1" applyFont="1" applyFill="1" applyBorder="1" applyAlignment="1">
      <alignment horizontal="right" vertical="center"/>
    </xf>
    <xf numFmtId="3" fontId="56" fillId="44" borderId="51" xfId="77" applyNumberFormat="1" applyFont="1" applyFill="1" applyBorder="1" applyAlignment="1">
      <alignment horizontal="right" vertical="center"/>
    </xf>
    <xf numFmtId="166" fontId="2" fillId="30" borderId="27" xfId="0" applyNumberFormat="1" applyFont="1" applyFill="1" applyBorder="1" applyAlignment="1">
      <alignment horizontal="right" vertical="center"/>
    </xf>
    <xf numFmtId="0" fontId="38" fillId="0" borderId="0" xfId="0" applyFont="1" applyAlignment="1">
      <alignment vertical="top"/>
    </xf>
    <xf numFmtId="168" fontId="3" fillId="28" borderId="107" xfId="30" applyNumberFormat="1" applyFont="1" applyFill="1" applyBorder="1" applyAlignment="1" applyProtection="1">
      <alignment horizontal="center" vertical="center"/>
      <protection locked="0"/>
    </xf>
    <xf numFmtId="166" fontId="3" fillId="30" borderId="42" xfId="0" applyNumberFormat="1" applyFont="1" applyFill="1" applyBorder="1" applyAlignment="1">
      <alignment horizontal="left" vertical="center"/>
    </xf>
    <xf numFmtId="0" fontId="66" fillId="29" borderId="0" xfId="74" applyFont="1" applyFill="1" applyAlignment="1">
      <alignment horizontal="right" vertical="center"/>
    </xf>
    <xf numFmtId="166" fontId="3" fillId="30" borderId="105" xfId="0" applyNumberFormat="1" applyFont="1" applyFill="1" applyBorder="1" applyAlignment="1">
      <alignment horizontal="left" vertical="center"/>
    </xf>
    <xf numFmtId="166" fontId="3" fillId="30" borderId="95" xfId="0" applyNumberFormat="1" applyFont="1" applyFill="1" applyBorder="1" applyAlignment="1">
      <alignment horizontal="left" vertical="center" indent="1"/>
    </xf>
    <xf numFmtId="166" fontId="3" fillId="30" borderId="96" xfId="0" applyNumberFormat="1" applyFont="1" applyFill="1" applyBorder="1" applyAlignment="1">
      <alignment horizontal="left" vertical="center" indent="1"/>
    </xf>
    <xf numFmtId="0" fontId="3" fillId="28" borderId="52" xfId="74" applyFont="1" applyFill="1" applyBorder="1" applyAlignment="1">
      <alignment vertical="top" wrapText="1"/>
    </xf>
    <xf numFmtId="0" fontId="3" fillId="28" borderId="53" xfId="74" applyFont="1" applyFill="1" applyBorder="1" applyAlignment="1">
      <alignment vertical="top" wrapText="1"/>
    </xf>
    <xf numFmtId="0" fontId="3" fillId="28" borderId="54" xfId="74" applyFont="1" applyFill="1" applyBorder="1" applyAlignment="1">
      <alignment vertical="top" wrapText="1"/>
    </xf>
    <xf numFmtId="168" fontId="56" fillId="29" borderId="109" xfId="77" applyNumberFormat="1" applyFont="1" applyFill="1" applyBorder="1" applyAlignment="1">
      <alignment horizontal="right" vertical="center"/>
    </xf>
    <xf numFmtId="168" fontId="56" fillId="29" borderId="56" xfId="77" applyNumberFormat="1" applyFont="1" applyFill="1" applyBorder="1" applyAlignment="1">
      <alignment horizontal="right" vertical="center"/>
    </xf>
    <xf numFmtId="168" fontId="58" fillId="29" borderId="59" xfId="77" applyNumberFormat="1" applyFont="1" applyFill="1" applyBorder="1" applyAlignment="1">
      <alignment horizontal="right" vertical="center"/>
    </xf>
    <xf numFmtId="166" fontId="2" fillId="30" borderId="51" xfId="0" applyNumberFormat="1" applyFont="1" applyFill="1" applyBorder="1" applyAlignment="1">
      <alignment horizontal="center" vertical="center"/>
    </xf>
    <xf numFmtId="168" fontId="56" fillId="29" borderId="60" xfId="77" applyNumberFormat="1" applyFont="1" applyFill="1" applyBorder="1" applyAlignment="1">
      <alignment horizontal="right" vertical="center"/>
    </xf>
    <xf numFmtId="168" fontId="58" fillId="29" borderId="27" xfId="77" applyNumberFormat="1" applyFont="1" applyFill="1" applyBorder="1" applyAlignment="1">
      <alignment horizontal="right" vertical="center"/>
    </xf>
    <xf numFmtId="3" fontId="56" fillId="29" borderId="66" xfId="77" applyNumberFormat="1" applyFont="1" applyFill="1" applyBorder="1" applyAlignment="1">
      <alignment horizontal="right" vertical="center"/>
    </xf>
    <xf numFmtId="3" fontId="56" fillId="29" borderId="60" xfId="77" applyNumberFormat="1" applyFont="1" applyFill="1" applyBorder="1" applyAlignment="1">
      <alignment horizontal="right" vertical="center"/>
    </xf>
    <xf numFmtId="3" fontId="56" fillId="29" borderId="75" xfId="77" applyNumberFormat="1" applyFont="1" applyFill="1" applyBorder="1" applyAlignment="1">
      <alignment horizontal="right" vertical="center"/>
    </xf>
    <xf numFmtId="166" fontId="70" fillId="29" borderId="59" xfId="0" applyNumberFormat="1" applyFont="1" applyFill="1" applyBorder="1" applyAlignment="1">
      <alignment horizontal="right" vertical="center"/>
    </xf>
    <xf numFmtId="166" fontId="70" fillId="29" borderId="59" xfId="0" applyNumberFormat="1" applyFont="1" applyFill="1" applyBorder="1" applyAlignment="1">
      <alignment horizontal="center" vertical="center"/>
    </xf>
    <xf numFmtId="3" fontId="56" fillId="44" borderId="110" xfId="77" applyNumberFormat="1" applyFont="1" applyFill="1" applyBorder="1" applyAlignment="1">
      <alignment horizontal="right" vertical="center"/>
    </xf>
    <xf numFmtId="3" fontId="58" fillId="29" borderId="111" xfId="77" applyNumberFormat="1" applyFont="1" applyFill="1" applyBorder="1" applyAlignment="1">
      <alignment horizontal="right" vertical="center"/>
    </xf>
    <xf numFmtId="174" fontId="3" fillId="42" borderId="0" xfId="78" applyNumberFormat="1" applyFont="1" applyFill="1" applyBorder="1" applyAlignment="1" applyProtection="1">
      <alignment horizontal="center" vertical="center"/>
      <protection locked="0"/>
    </xf>
    <xf numFmtId="174" fontId="3" fillId="42" borderId="87" xfId="78" applyNumberFormat="1" applyFont="1" applyFill="1" applyBorder="1" applyAlignment="1" applyProtection="1">
      <alignment horizontal="center" vertical="center"/>
      <protection locked="0"/>
    </xf>
    <xf numFmtId="174" fontId="3" fillId="29" borderId="0" xfId="78" applyNumberFormat="1" applyFont="1" applyFill="1" applyBorder="1" applyAlignment="1" applyProtection="1">
      <alignment horizontal="center" vertical="center"/>
      <protection locked="0"/>
    </xf>
    <xf numFmtId="174" fontId="3" fillId="29" borderId="87" xfId="78" applyNumberFormat="1" applyFont="1" applyFill="1" applyBorder="1" applyAlignment="1" applyProtection="1">
      <alignment horizontal="center" vertical="center"/>
      <protection locked="0"/>
    </xf>
    <xf numFmtId="176" fontId="3" fillId="29" borderId="25" xfId="78" applyNumberFormat="1" applyFont="1" applyFill="1" applyBorder="1" applyAlignment="1" applyProtection="1">
      <alignment horizontal="right" vertical="center"/>
      <protection locked="0"/>
    </xf>
    <xf numFmtId="176" fontId="3" fillId="29" borderId="101" xfId="78" applyNumberFormat="1" applyFont="1" applyFill="1" applyBorder="1" applyAlignment="1" applyProtection="1">
      <alignment horizontal="right" vertical="center"/>
      <protection locked="0"/>
    </xf>
    <xf numFmtId="42" fontId="31" fillId="29" borderId="66" xfId="75" applyNumberFormat="1" applyFont="1" applyFill="1" applyBorder="1" applyAlignment="1">
      <alignment vertical="center"/>
    </xf>
    <xf numFmtId="42" fontId="31" fillId="29" borderId="27" xfId="75" applyNumberFormat="1" applyFont="1" applyFill="1" applyBorder="1" applyAlignment="1">
      <alignment vertical="center"/>
    </xf>
    <xf numFmtId="168" fontId="3" fillId="40" borderId="2" xfId="78" applyNumberFormat="1" applyFont="1" applyFill="1" applyBorder="1" applyAlignment="1" applyProtection="1">
      <alignment horizontal="center" vertical="center"/>
      <protection locked="0"/>
    </xf>
    <xf numFmtId="177" fontId="56" fillId="29" borderId="76" xfId="78" applyNumberFormat="1" applyFont="1" applyFill="1" applyBorder="1" applyAlignment="1">
      <alignment horizontal="right" vertical="center"/>
    </xf>
    <xf numFmtId="177" fontId="56" fillId="29" borderId="77" xfId="78" applyNumberFormat="1" applyFont="1" applyFill="1" applyBorder="1" applyAlignment="1">
      <alignment horizontal="right" vertical="center"/>
    </xf>
    <xf numFmtId="177" fontId="56" fillId="29" borderId="0" xfId="78" applyNumberFormat="1" applyFont="1" applyFill="1" applyBorder="1" applyAlignment="1">
      <alignment horizontal="right" vertical="center"/>
    </xf>
    <xf numFmtId="177" fontId="56" fillId="29" borderId="79" xfId="78" applyNumberFormat="1" applyFont="1" applyFill="1" applyBorder="1" applyAlignment="1">
      <alignment horizontal="right" vertical="center"/>
    </xf>
    <xf numFmtId="177" fontId="56" fillId="38" borderId="0" xfId="78" applyNumberFormat="1" applyFont="1" applyFill="1" applyBorder="1" applyAlignment="1">
      <alignment horizontal="right" vertical="center"/>
    </xf>
    <xf numFmtId="177" fontId="56" fillId="42" borderId="0" xfId="78" applyNumberFormat="1" applyFont="1" applyFill="1" applyBorder="1" applyAlignment="1">
      <alignment horizontal="right" vertical="center"/>
    </xf>
    <xf numFmtId="178" fontId="56" fillId="29" borderId="50" xfId="77" applyNumberFormat="1" applyFont="1" applyFill="1" applyBorder="1" applyAlignment="1">
      <alignment horizontal="right" vertical="center"/>
    </xf>
    <xf numFmtId="178" fontId="56" fillId="44" borderId="51" xfId="77" applyNumberFormat="1" applyFont="1" applyFill="1" applyBorder="1" applyAlignment="1">
      <alignment horizontal="right" vertical="center"/>
    </xf>
    <xf numFmtId="178" fontId="56" fillId="29" borderId="75" xfId="77" applyNumberFormat="1" applyFont="1" applyFill="1" applyBorder="1" applyAlignment="1">
      <alignment horizontal="right" vertical="center"/>
    </xf>
    <xf numFmtId="178" fontId="56" fillId="29" borderId="0" xfId="77" applyNumberFormat="1" applyFont="1" applyFill="1" applyBorder="1" applyAlignment="1">
      <alignment horizontal="right" vertical="center"/>
    </xf>
    <xf numFmtId="178" fontId="56" fillId="29" borderId="56" xfId="77" applyNumberFormat="1" applyFont="1" applyFill="1" applyBorder="1" applyAlignment="1">
      <alignment horizontal="right" vertical="center"/>
    </xf>
    <xf numFmtId="178" fontId="56" fillId="44" borderId="110" xfId="77" applyNumberFormat="1" applyFont="1" applyFill="1" applyBorder="1" applyAlignment="1">
      <alignment horizontal="right" vertical="center"/>
    </xf>
    <xf numFmtId="178" fontId="56" fillId="29" borderId="66" xfId="77" applyNumberFormat="1" applyFont="1" applyFill="1" applyBorder="1" applyAlignment="1">
      <alignment horizontal="right" vertical="center"/>
    </xf>
    <xf numFmtId="178" fontId="56" fillId="29" borderId="60" xfId="77" applyNumberFormat="1" applyFont="1" applyFill="1" applyBorder="1" applyAlignment="1">
      <alignment horizontal="right" vertical="center"/>
    </xf>
    <xf numFmtId="178" fontId="58" fillId="29" borderId="111" xfId="77" applyNumberFormat="1" applyFont="1" applyFill="1" applyBorder="1" applyAlignment="1">
      <alignment horizontal="right" vertical="center"/>
    </xf>
    <xf numFmtId="178" fontId="58" fillId="29" borderId="60" xfId="77" applyNumberFormat="1" applyFont="1" applyFill="1" applyBorder="1" applyAlignment="1">
      <alignment horizontal="right" vertical="center"/>
    </xf>
    <xf numFmtId="166" fontId="2" fillId="30" borderId="48" xfId="0" applyNumberFormat="1" applyFont="1" applyFill="1" applyBorder="1" applyAlignment="1">
      <alignment horizontal="center" vertical="center"/>
    </xf>
    <xf numFmtId="168" fontId="56" fillId="29" borderId="41" xfId="77" applyNumberFormat="1" applyFont="1" applyFill="1" applyBorder="1" applyAlignment="1">
      <alignment horizontal="right" vertical="center"/>
    </xf>
    <xf numFmtId="10" fontId="56" fillId="29" borderId="108" xfId="77" applyNumberFormat="1" applyFont="1" applyFill="1" applyBorder="1" applyAlignment="1">
      <alignment horizontal="right" vertical="center"/>
    </xf>
    <xf numFmtId="168" fontId="56" fillId="29" borderId="42" xfId="77" applyNumberFormat="1" applyFont="1" applyFill="1" applyBorder="1" applyAlignment="1">
      <alignment horizontal="right" vertical="center"/>
    </xf>
    <xf numFmtId="10" fontId="56" fillId="29" borderId="56" xfId="77" applyNumberFormat="1" applyFont="1" applyFill="1" applyBorder="1" applyAlignment="1">
      <alignment horizontal="right" vertical="center"/>
    </xf>
    <xf numFmtId="168" fontId="56" fillId="29" borderId="48" xfId="77" applyNumberFormat="1" applyFont="1" applyFill="1" applyBorder="1" applyAlignment="1">
      <alignment horizontal="right" vertical="center"/>
    </xf>
    <xf numFmtId="179" fontId="3" fillId="29" borderId="25" xfId="78" applyNumberFormat="1" applyFont="1" applyFill="1" applyBorder="1" applyAlignment="1" applyProtection="1">
      <alignment horizontal="right" vertical="center"/>
      <protection locked="0"/>
    </xf>
    <xf numFmtId="179" fontId="3" fillId="29" borderId="101" xfId="78" applyNumberFormat="1" applyFont="1" applyFill="1" applyBorder="1" applyAlignment="1" applyProtection="1">
      <alignment horizontal="right" vertical="center"/>
      <protection locked="0"/>
    </xf>
    <xf numFmtId="166" fontId="2" fillId="30" borderId="49" xfId="0" applyNumberFormat="1" applyFont="1" applyFill="1" applyBorder="1" applyAlignment="1">
      <alignment horizontal="right" vertical="center"/>
    </xf>
    <xf numFmtId="166" fontId="2" fillId="30" borderId="51" xfId="0" applyNumberFormat="1" applyFont="1" applyFill="1" applyBorder="1" applyAlignment="1">
      <alignment horizontal="right" vertical="center"/>
    </xf>
    <xf numFmtId="0" fontId="52" fillId="26" borderId="59" xfId="0" applyFont="1" applyFill="1" applyBorder="1" applyAlignment="1">
      <alignment vertical="center"/>
    </xf>
    <xf numFmtId="1" fontId="3" fillId="40" borderId="2" xfId="78" applyNumberFormat="1" applyFont="1" applyFill="1" applyBorder="1" applyAlignment="1" applyProtection="1">
      <alignment horizontal="center" vertical="center"/>
      <protection locked="0"/>
    </xf>
    <xf numFmtId="176" fontId="3" fillId="40" borderId="2" xfId="78" applyNumberFormat="1" applyFont="1" applyFill="1" applyBorder="1" applyAlignment="1" applyProtection="1">
      <alignment horizontal="center" vertical="center"/>
      <protection locked="0"/>
    </xf>
    <xf numFmtId="0" fontId="1" fillId="0" borderId="0" xfId="0" applyFont="1"/>
    <xf numFmtId="166" fontId="3" fillId="30" borderId="33" xfId="0" applyNumberFormat="1" applyFont="1" applyFill="1" applyBorder="1" applyAlignment="1">
      <alignment horizontal="left" vertical="center" indent="2"/>
    </xf>
    <xf numFmtId="0" fontId="2" fillId="29" borderId="0" xfId="74" applyFont="1" applyFill="1" applyAlignment="1">
      <alignment horizontal="centerContinuous" vertical="center" wrapText="1"/>
    </xf>
    <xf numFmtId="0" fontId="2" fillId="29" borderId="0" xfId="74" applyFont="1" applyFill="1" applyAlignment="1">
      <alignment horizontal="right" vertical="center" wrapText="1"/>
    </xf>
    <xf numFmtId="166" fontId="2" fillId="30" borderId="33" xfId="0" applyNumberFormat="1" applyFont="1" applyFill="1" applyBorder="1" applyAlignment="1">
      <alignment horizontal="right" vertical="center" wrapText="1"/>
    </xf>
    <xf numFmtId="0" fontId="2" fillId="29" borderId="0" xfId="74" applyFont="1" applyFill="1" applyAlignment="1">
      <alignment horizontal="left" vertical="center"/>
    </xf>
    <xf numFmtId="168" fontId="72" fillId="0" borderId="2" xfId="103" applyNumberFormat="1" applyFont="1" applyFill="1" applyBorder="1" applyAlignment="1" applyProtection="1">
      <alignment horizontal="right" vertical="center"/>
      <protection locked="0"/>
    </xf>
    <xf numFmtId="166" fontId="37" fillId="31" borderId="28" xfId="0" applyNumberFormat="1" applyFont="1" applyFill="1" applyBorder="1" applyAlignment="1">
      <alignment horizontal="centerContinuous" vertical="center"/>
    </xf>
    <xf numFmtId="166" fontId="37" fillId="31" borderId="38" xfId="0" applyNumberFormat="1" applyFont="1" applyFill="1" applyBorder="1" applyAlignment="1">
      <alignment horizontal="centerContinuous" vertical="center"/>
    </xf>
    <xf numFmtId="166" fontId="37" fillId="31" borderId="29" xfId="0" applyNumberFormat="1" applyFont="1" applyFill="1" applyBorder="1" applyAlignment="1">
      <alignment horizontal="centerContinuous" vertical="center"/>
    </xf>
    <xf numFmtId="168" fontId="3" fillId="42" borderId="26" xfId="30" applyNumberFormat="1" applyFont="1" applyFill="1" applyBorder="1" applyAlignment="1" applyProtection="1">
      <alignment horizontal="center" vertical="center"/>
      <protection locked="0"/>
    </xf>
    <xf numFmtId="168" fontId="3" fillId="42" borderId="2" xfId="30" applyNumberFormat="1" applyFont="1" applyFill="1" applyBorder="1" applyAlignment="1" applyProtection="1">
      <alignment horizontal="center" vertical="center"/>
      <protection locked="0"/>
    </xf>
    <xf numFmtId="168" fontId="3" fillId="0" borderId="2" xfId="103" applyNumberFormat="1" applyFont="1" applyFill="1" applyBorder="1" applyAlignment="1" applyProtection="1">
      <alignment horizontal="right" vertical="center" indent="1"/>
      <protection locked="0"/>
    </xf>
    <xf numFmtId="168" fontId="3" fillId="42" borderId="2" xfId="103" applyNumberFormat="1" applyFont="1" applyFill="1" applyBorder="1" applyAlignment="1" applyProtection="1">
      <alignment horizontal="right" vertical="center" indent="1"/>
      <protection locked="0"/>
    </xf>
    <xf numFmtId="10" fontId="3" fillId="0" borderId="2" xfId="103" applyNumberFormat="1" applyFont="1" applyFill="1" applyBorder="1" applyAlignment="1" applyProtection="1">
      <alignment horizontal="right" vertical="center" indent="1"/>
      <protection locked="0"/>
    </xf>
    <xf numFmtId="168" fontId="3" fillId="45" borderId="2" xfId="103" applyNumberFormat="1" applyFont="1" applyFill="1" applyBorder="1" applyAlignment="1" applyProtection="1">
      <alignment horizontal="right" vertical="center"/>
      <protection locked="0"/>
    </xf>
    <xf numFmtId="166" fontId="3" fillId="30" borderId="33" xfId="0" applyNumberFormat="1" applyFont="1" applyFill="1" applyBorder="1" applyAlignment="1">
      <alignment horizontal="left" vertical="top"/>
    </xf>
    <xf numFmtId="168" fontId="3" fillId="0" borderId="2" xfId="103" applyNumberFormat="1" applyFont="1" applyFill="1" applyBorder="1" applyAlignment="1" applyProtection="1">
      <alignment horizontal="right" vertical="top"/>
      <protection locked="0"/>
    </xf>
    <xf numFmtId="166" fontId="3" fillId="41" borderId="33" xfId="0" applyNumberFormat="1" applyFont="1" applyFill="1" applyBorder="1" applyAlignment="1">
      <alignment horizontal="left" vertical="top" indent="1"/>
    </xf>
    <xf numFmtId="168" fontId="56" fillId="29" borderId="42" xfId="77" applyNumberFormat="1" applyFont="1" applyFill="1" applyBorder="1" applyAlignment="1">
      <alignment horizontal="right" vertical="center" indent="1"/>
    </xf>
    <xf numFmtId="168" fontId="56" fillId="29" borderId="42" xfId="77" applyNumberFormat="1" applyFont="1" applyFill="1" applyBorder="1" applyAlignment="1">
      <alignment horizontal="right" vertical="center" indent="2"/>
    </xf>
    <xf numFmtId="166" fontId="3" fillId="30" borderId="33" xfId="0" applyNumberFormat="1" applyFont="1" applyFill="1" applyBorder="1" applyAlignment="1">
      <alignment horizontal="left" vertical="top" indent="1"/>
    </xf>
    <xf numFmtId="166" fontId="3" fillId="30" borderId="33" xfId="0" applyNumberFormat="1" applyFont="1" applyFill="1" applyBorder="1" applyAlignment="1">
      <alignment horizontal="left" vertical="top" indent="2"/>
    </xf>
    <xf numFmtId="168" fontId="3" fillId="29" borderId="2" xfId="77" applyNumberFormat="1" applyFont="1" applyFill="1" applyBorder="1" applyAlignment="1" applyProtection="1">
      <alignment horizontal="right" vertical="top" indent="1"/>
      <protection locked="0"/>
    </xf>
    <xf numFmtId="168" fontId="3" fillId="29" borderId="2" xfId="77" applyNumberFormat="1" applyFont="1" applyFill="1" applyBorder="1" applyAlignment="1" applyProtection="1">
      <alignment horizontal="right" vertical="top" indent="2"/>
      <protection locked="0"/>
    </xf>
    <xf numFmtId="10" fontId="2" fillId="29" borderId="2" xfId="76" applyNumberFormat="1" applyFont="1" applyFill="1" applyBorder="1" applyAlignment="1" applyProtection="1">
      <alignment horizontal="left" vertical="top" indent="3"/>
    </xf>
    <xf numFmtId="166" fontId="37" fillId="31" borderId="51" xfId="0" applyNumberFormat="1" applyFont="1" applyFill="1" applyBorder="1" applyAlignment="1">
      <alignment horizontal="center" vertical="center" wrapText="1"/>
    </xf>
    <xf numFmtId="0" fontId="53" fillId="29" borderId="56" xfId="74" applyFont="1" applyFill="1" applyBorder="1" applyAlignment="1">
      <alignment vertical="center"/>
    </xf>
    <xf numFmtId="2" fontId="69" fillId="29" borderId="56" xfId="74" applyNumberFormat="1" applyFont="1" applyFill="1" applyBorder="1" applyAlignment="1">
      <alignment vertical="center"/>
    </xf>
    <xf numFmtId="0" fontId="1" fillId="29" borderId="56" xfId="74" applyFill="1" applyBorder="1" applyAlignment="1">
      <alignment vertical="center"/>
    </xf>
    <xf numFmtId="0" fontId="1" fillId="29" borderId="0" xfId="74" applyFill="1" applyAlignment="1">
      <alignment vertical="top"/>
    </xf>
    <xf numFmtId="0" fontId="1" fillId="29" borderId="56" xfId="74" applyFill="1" applyBorder="1" applyAlignment="1">
      <alignment vertical="top"/>
    </xf>
    <xf numFmtId="0" fontId="56" fillId="29" borderId="26" xfId="74" applyFont="1" applyFill="1" applyBorder="1" applyAlignment="1">
      <alignment vertical="center"/>
    </xf>
    <xf numFmtId="168" fontId="56" fillId="29" borderId="45" xfId="77" applyNumberFormat="1" applyFont="1" applyFill="1" applyBorder="1" applyAlignment="1">
      <alignment horizontal="right" vertical="center"/>
    </xf>
    <xf numFmtId="10" fontId="56" fillId="29" borderId="46" xfId="77" applyNumberFormat="1" applyFont="1" applyFill="1" applyBorder="1" applyAlignment="1">
      <alignment horizontal="right" vertical="center"/>
    </xf>
    <xf numFmtId="177" fontId="56" fillId="29" borderId="25" xfId="78" applyNumberFormat="1" applyFont="1" applyFill="1" applyBorder="1" applyAlignment="1">
      <alignment horizontal="right" vertical="center"/>
    </xf>
    <xf numFmtId="177" fontId="56" fillId="29" borderId="24" xfId="78" applyNumberFormat="1" applyFont="1" applyFill="1" applyBorder="1" applyAlignment="1">
      <alignment horizontal="right" vertical="center"/>
    </xf>
    <xf numFmtId="177" fontId="56" fillId="38" borderId="25" xfId="78" applyNumberFormat="1" applyFont="1" applyFill="1" applyBorder="1" applyAlignment="1">
      <alignment horizontal="right" vertical="center"/>
    </xf>
    <xf numFmtId="168" fontId="56" fillId="29" borderId="25" xfId="77" applyNumberFormat="1" applyFont="1" applyFill="1" applyBorder="1" applyAlignment="1">
      <alignment horizontal="right" vertical="center"/>
    </xf>
    <xf numFmtId="168" fontId="56" fillId="29" borderId="24" xfId="77" applyNumberFormat="1" applyFont="1" applyFill="1" applyBorder="1" applyAlignment="1">
      <alignment horizontal="right" vertical="center"/>
    </xf>
    <xf numFmtId="166" fontId="3" fillId="30" borderId="27" xfId="0" applyNumberFormat="1" applyFont="1" applyFill="1" applyBorder="1" applyAlignment="1">
      <alignment horizontal="left" vertical="top"/>
    </xf>
    <xf numFmtId="10" fontId="2" fillId="29" borderId="112" xfId="76" applyNumberFormat="1" applyFont="1" applyFill="1" applyBorder="1" applyAlignment="1" applyProtection="1">
      <alignment horizontal="left" vertical="top" indent="3"/>
    </xf>
    <xf numFmtId="0" fontId="53" fillId="29" borderId="59" xfId="74" applyFont="1" applyFill="1" applyBorder="1" applyAlignment="1">
      <alignment vertical="center"/>
    </xf>
    <xf numFmtId="0" fontId="69" fillId="29" borderId="59" xfId="74" applyFont="1" applyFill="1" applyBorder="1" applyAlignment="1">
      <alignment vertical="center"/>
    </xf>
    <xf numFmtId="0" fontId="53" fillId="29" borderId="60" xfId="74" applyFont="1" applyFill="1" applyBorder="1" applyAlignment="1">
      <alignment vertical="center"/>
    </xf>
    <xf numFmtId="0" fontId="74" fillId="29" borderId="59" xfId="74" applyFont="1" applyFill="1" applyBorder="1" applyAlignment="1">
      <alignment vertical="center"/>
    </xf>
    <xf numFmtId="177" fontId="56" fillId="42" borderId="76" xfId="78" applyNumberFormat="1" applyFont="1" applyFill="1" applyBorder="1" applyAlignment="1">
      <alignment horizontal="right" vertical="center"/>
    </xf>
    <xf numFmtId="0" fontId="56" fillId="29" borderId="78" xfId="74" applyFont="1" applyFill="1" applyBorder="1" applyAlignment="1">
      <alignment horizontal="left" vertical="center" indent="2"/>
    </xf>
    <xf numFmtId="0" fontId="56" fillId="29" borderId="40" xfId="74" applyFont="1" applyFill="1" applyBorder="1" applyAlignment="1">
      <alignment horizontal="left" vertical="center" indent="2"/>
    </xf>
    <xf numFmtId="168" fontId="56" fillId="29" borderId="41" xfId="77" applyNumberFormat="1" applyFont="1" applyFill="1" applyBorder="1" applyAlignment="1">
      <alignment horizontal="right" vertical="center" indent="2"/>
    </xf>
    <xf numFmtId="177" fontId="56" fillId="38" borderId="76" xfId="78" applyNumberFormat="1" applyFont="1" applyFill="1" applyBorder="1" applyAlignment="1">
      <alignment horizontal="right" vertical="center"/>
    </xf>
    <xf numFmtId="180" fontId="56" fillId="29" borderId="25" xfId="78" applyNumberFormat="1" applyFont="1" applyFill="1" applyBorder="1" applyAlignment="1">
      <alignment horizontal="right" vertical="center"/>
    </xf>
    <xf numFmtId="180" fontId="56" fillId="42" borderId="25" xfId="78" applyNumberFormat="1" applyFont="1" applyFill="1" applyBorder="1" applyAlignment="1">
      <alignment horizontal="right" vertical="center"/>
    </xf>
    <xf numFmtId="166" fontId="37" fillId="31" borderId="0" xfId="0" applyNumberFormat="1" applyFont="1" applyFill="1" applyAlignment="1">
      <alignment horizontal="centerContinuous" vertical="center"/>
    </xf>
    <xf numFmtId="168" fontId="1" fillId="29" borderId="0" xfId="74" applyNumberFormat="1" applyFill="1" applyAlignment="1">
      <alignment vertical="center"/>
    </xf>
    <xf numFmtId="177" fontId="1" fillId="29" borderId="0" xfId="74" applyNumberFormat="1" applyFill="1" applyAlignment="1">
      <alignment vertical="center"/>
    </xf>
    <xf numFmtId="168" fontId="56" fillId="42" borderId="77" xfId="77" applyNumberFormat="1" applyFont="1" applyFill="1" applyBorder="1" applyAlignment="1">
      <alignment horizontal="right" vertical="center"/>
    </xf>
    <xf numFmtId="177" fontId="56" fillId="42" borderId="77" xfId="78" applyNumberFormat="1" applyFont="1" applyFill="1" applyBorder="1" applyAlignment="1">
      <alignment horizontal="right" vertical="center"/>
    </xf>
    <xf numFmtId="168" fontId="56" fillId="42" borderId="79" xfId="77" applyNumberFormat="1" applyFont="1" applyFill="1" applyBorder="1" applyAlignment="1">
      <alignment horizontal="right" vertical="center"/>
    </xf>
    <xf numFmtId="177" fontId="56" fillId="42" borderId="79" xfId="78" applyNumberFormat="1" applyFont="1" applyFill="1" applyBorder="1" applyAlignment="1">
      <alignment horizontal="right" vertical="center"/>
    </xf>
    <xf numFmtId="168" fontId="56" fillId="29" borderId="113" xfId="77" applyNumberFormat="1" applyFont="1" applyFill="1" applyBorder="1" applyAlignment="1">
      <alignment horizontal="right" vertical="center" indent="2"/>
    </xf>
    <xf numFmtId="168" fontId="56" fillId="29" borderId="113" xfId="77" applyNumberFormat="1" applyFont="1" applyFill="1" applyBorder="1" applyAlignment="1">
      <alignment horizontal="right" vertical="center" indent="1"/>
    </xf>
    <xf numFmtId="168" fontId="56" fillId="38" borderId="79" xfId="77" applyNumberFormat="1" applyFont="1" applyFill="1" applyBorder="1" applyAlignment="1">
      <alignment horizontal="right" vertical="center"/>
    </xf>
    <xf numFmtId="168" fontId="56" fillId="38" borderId="77" xfId="77" applyNumberFormat="1" applyFont="1" applyFill="1" applyBorder="1" applyAlignment="1">
      <alignment horizontal="right" vertical="center"/>
    </xf>
    <xf numFmtId="168" fontId="56" fillId="42" borderId="24" xfId="77" applyNumberFormat="1" applyFont="1" applyFill="1" applyBorder="1" applyAlignment="1">
      <alignment horizontal="right" vertical="center"/>
    </xf>
    <xf numFmtId="0" fontId="56" fillId="29" borderId="40" xfId="74" applyFont="1" applyFill="1" applyBorder="1" applyAlignment="1">
      <alignment horizontal="left" vertical="center"/>
    </xf>
    <xf numFmtId="177" fontId="56" fillId="42" borderId="42" xfId="78" applyNumberFormat="1" applyFont="1" applyFill="1" applyBorder="1" applyAlignment="1">
      <alignment horizontal="right" vertical="center"/>
    </xf>
    <xf numFmtId="177" fontId="56" fillId="29" borderId="42" xfId="78" applyNumberFormat="1" applyFont="1" applyFill="1" applyBorder="1" applyAlignment="1">
      <alignment horizontal="right" vertical="center"/>
    </xf>
    <xf numFmtId="177" fontId="56" fillId="42" borderId="45" xfId="78" applyNumberFormat="1" applyFont="1" applyFill="1" applyBorder="1" applyAlignment="1">
      <alignment horizontal="right" vertical="center"/>
    </xf>
    <xf numFmtId="174" fontId="56" fillId="29" borderId="56" xfId="78" applyNumberFormat="1" applyFont="1" applyFill="1" applyBorder="1" applyAlignment="1">
      <alignment horizontal="right" vertical="center"/>
    </xf>
    <xf numFmtId="0" fontId="37" fillId="38" borderId="114" xfId="0" applyFont="1" applyFill="1" applyBorder="1" applyAlignment="1">
      <alignment horizontal="right" vertical="center"/>
    </xf>
    <xf numFmtId="0" fontId="31" fillId="26" borderId="115" xfId="0" applyFont="1" applyFill="1" applyBorder="1" applyAlignment="1">
      <alignment vertical="center"/>
    </xf>
    <xf numFmtId="0" fontId="31" fillId="24" borderId="116" xfId="0" applyFont="1" applyFill="1" applyBorder="1" applyAlignment="1" applyProtection="1">
      <alignment vertical="center"/>
      <protection locked="0"/>
    </xf>
    <xf numFmtId="0" fontId="31" fillId="0" borderId="116" xfId="0" applyFont="1" applyBorder="1" applyAlignment="1" applyProtection="1">
      <alignment horizontal="left" vertical="center"/>
      <protection locked="0"/>
    </xf>
    <xf numFmtId="44" fontId="31" fillId="24" borderId="116" xfId="75" applyFont="1" applyFill="1" applyBorder="1" applyAlignment="1" applyProtection="1">
      <alignment vertical="center"/>
      <protection locked="0"/>
    </xf>
    <xf numFmtId="44" fontId="31" fillId="26" borderId="117" xfId="75" applyFont="1" applyFill="1" applyBorder="1" applyAlignment="1">
      <alignment horizontal="center" vertical="center"/>
    </xf>
    <xf numFmtId="0" fontId="3" fillId="26" borderId="114" xfId="74" applyFont="1" applyFill="1" applyBorder="1" applyAlignment="1">
      <alignment vertical="center"/>
    </xf>
    <xf numFmtId="0" fontId="3" fillId="26" borderId="114" xfId="74" applyFont="1" applyFill="1" applyBorder="1" applyAlignment="1">
      <alignment horizontal="right" vertical="center"/>
    </xf>
    <xf numFmtId="167" fontId="3" fillId="26" borderId="114" xfId="74" applyNumberFormat="1" applyFont="1" applyFill="1" applyBorder="1" applyAlignment="1">
      <alignment horizontal="right" vertical="center"/>
    </xf>
    <xf numFmtId="3" fontId="3" fillId="0" borderId="106" xfId="74" applyNumberFormat="1" applyFont="1" applyBorder="1" applyAlignment="1" applyProtection="1">
      <alignment horizontal="right" vertical="center"/>
      <protection locked="0"/>
    </xf>
    <xf numFmtId="3" fontId="3" fillId="29" borderId="114" xfId="74" applyNumberFormat="1" applyFont="1" applyFill="1" applyBorder="1" applyAlignment="1" applyProtection="1">
      <alignment horizontal="right" vertical="center"/>
      <protection locked="0"/>
    </xf>
    <xf numFmtId="0" fontId="3" fillId="29" borderId="118" xfId="74" applyFont="1" applyFill="1" applyBorder="1" applyAlignment="1">
      <alignment vertical="center"/>
    </xf>
    <xf numFmtId="0" fontId="3" fillId="29" borderId="119" xfId="74" applyFont="1" applyFill="1" applyBorder="1" applyAlignment="1">
      <alignment vertical="center"/>
    </xf>
    <xf numFmtId="0" fontId="48" fillId="26" borderId="118" xfId="74" applyFont="1" applyFill="1" applyBorder="1" applyAlignment="1">
      <alignment vertical="center"/>
    </xf>
    <xf numFmtId="3" fontId="3" fillId="29" borderId="118" xfId="74" applyNumberFormat="1" applyFont="1" applyFill="1" applyBorder="1" applyAlignment="1" applyProtection="1">
      <alignment horizontal="right" vertical="center"/>
      <protection locked="0"/>
    </xf>
    <xf numFmtId="0" fontId="3" fillId="29" borderId="114" xfId="74" applyFont="1" applyFill="1" applyBorder="1" applyAlignment="1">
      <alignment horizontal="right" vertical="center"/>
    </xf>
    <xf numFmtId="0" fontId="3" fillId="29" borderId="114" xfId="74" applyFont="1" applyFill="1" applyBorder="1" applyAlignment="1">
      <alignment vertical="center"/>
    </xf>
    <xf numFmtId="166" fontId="37" fillId="31" borderId="120" xfId="0" applyNumberFormat="1" applyFont="1" applyFill="1" applyBorder="1" applyAlignment="1">
      <alignment horizontal="left" vertical="center"/>
    </xf>
    <xf numFmtId="166" fontId="2" fillId="30" borderId="121" xfId="0" applyNumberFormat="1" applyFont="1" applyFill="1" applyBorder="1" applyAlignment="1">
      <alignment horizontal="center" vertical="center"/>
    </xf>
    <xf numFmtId="166" fontId="37" fillId="31" borderId="120" xfId="0" applyNumberFormat="1" applyFont="1" applyFill="1" applyBorder="1" applyAlignment="1">
      <alignment horizontal="center" vertical="center" wrapText="1"/>
    </xf>
    <xf numFmtId="166" fontId="37" fillId="31" borderId="121" xfId="0" applyNumberFormat="1" applyFont="1" applyFill="1" applyBorder="1" applyAlignment="1">
      <alignment horizontal="center" vertical="center" wrapText="1"/>
    </xf>
    <xf numFmtId="0" fontId="56" fillId="29" borderId="117" xfId="74" applyFont="1" applyFill="1" applyBorder="1" applyAlignment="1">
      <alignment vertical="center"/>
    </xf>
    <xf numFmtId="10" fontId="56" fillId="29" borderId="121" xfId="77" applyNumberFormat="1" applyFont="1" applyFill="1" applyBorder="1" applyAlignment="1">
      <alignment horizontal="right" vertical="center"/>
    </xf>
    <xf numFmtId="177" fontId="56" fillId="38" borderId="120" xfId="78" applyNumberFormat="1" applyFont="1" applyFill="1" applyBorder="1" applyAlignment="1">
      <alignment horizontal="right" vertical="center"/>
    </xf>
    <xf numFmtId="177" fontId="56" fillId="29" borderId="122" xfId="78" applyNumberFormat="1" applyFont="1" applyFill="1" applyBorder="1" applyAlignment="1">
      <alignment horizontal="right" vertical="center"/>
    </xf>
    <xf numFmtId="168" fontId="56" fillId="29" borderId="120" xfId="77" applyNumberFormat="1" applyFont="1" applyFill="1" applyBorder="1" applyAlignment="1">
      <alignment horizontal="right" vertical="center"/>
    </xf>
    <xf numFmtId="168" fontId="56" fillId="29" borderId="122" xfId="77" applyNumberFormat="1" applyFont="1" applyFill="1" applyBorder="1" applyAlignment="1">
      <alignment horizontal="right" vertical="center"/>
    </xf>
    <xf numFmtId="168" fontId="56" fillId="38" borderId="122" xfId="77" applyNumberFormat="1" applyFont="1" applyFill="1" applyBorder="1" applyAlignment="1">
      <alignment horizontal="right" vertical="center"/>
    </xf>
    <xf numFmtId="177" fontId="56" fillId="29" borderId="120" xfId="78" applyNumberFormat="1" applyFont="1" applyFill="1" applyBorder="1" applyAlignment="1">
      <alignment horizontal="right" vertical="center"/>
    </xf>
    <xf numFmtId="177" fontId="56" fillId="42" borderId="120" xfId="78" applyNumberFormat="1" applyFont="1" applyFill="1" applyBorder="1" applyAlignment="1">
      <alignment horizontal="right" vertical="center"/>
    </xf>
    <xf numFmtId="168" fontId="56" fillId="42" borderId="122" xfId="77" applyNumberFormat="1" applyFont="1" applyFill="1" applyBorder="1" applyAlignment="1">
      <alignment horizontal="right" vertical="center"/>
    </xf>
    <xf numFmtId="0" fontId="53" fillId="29" borderId="121" xfId="74" applyFont="1" applyFill="1" applyBorder="1" applyAlignment="1">
      <alignment vertical="center"/>
    </xf>
    <xf numFmtId="0" fontId="1" fillId="29" borderId="122" xfId="74" applyFill="1" applyBorder="1" applyAlignment="1">
      <alignment vertical="center"/>
    </xf>
    <xf numFmtId="0" fontId="47" fillId="0" borderId="0" xfId="0" applyFont="1"/>
    <xf numFmtId="0" fontId="0" fillId="0" borderId="0" xfId="74" applyFont="1"/>
    <xf numFmtId="168" fontId="39" fillId="0" borderId="2" xfId="103" applyNumberFormat="1" applyFont="1" applyFill="1" applyBorder="1" applyAlignment="1" applyProtection="1">
      <alignment horizontal="center" vertical="center"/>
      <protection locked="0"/>
    </xf>
    <xf numFmtId="0" fontId="76" fillId="26" borderId="15" xfId="74" applyFont="1" applyFill="1" applyBorder="1" applyAlignment="1">
      <alignment vertical="center"/>
    </xf>
    <xf numFmtId="0" fontId="76" fillId="26" borderId="22" xfId="74" applyFont="1" applyFill="1" applyBorder="1" applyAlignment="1">
      <alignment vertical="center"/>
    </xf>
    <xf numFmtId="0" fontId="39" fillId="26" borderId="0" xfId="74" applyFont="1" applyFill="1" applyAlignment="1">
      <alignment vertical="center" wrapText="1"/>
    </xf>
    <xf numFmtId="0" fontId="39" fillId="26" borderId="1" xfId="74" applyFont="1" applyFill="1" applyBorder="1" applyAlignment="1">
      <alignment vertical="center" wrapText="1"/>
    </xf>
    <xf numFmtId="0" fontId="39" fillId="26" borderId="1" xfId="74" applyFont="1" applyFill="1" applyBorder="1" applyAlignment="1">
      <alignment horizontal="right" vertical="center"/>
    </xf>
    <xf numFmtId="0" fontId="39" fillId="27" borderId="32" xfId="74" applyFont="1" applyFill="1" applyBorder="1" applyAlignment="1">
      <alignment vertical="center"/>
    </xf>
    <xf numFmtId="0" fontId="39" fillId="27" borderId="12" xfId="74" applyFont="1" applyFill="1" applyBorder="1" applyAlignment="1">
      <alignment vertical="center"/>
    </xf>
    <xf numFmtId="0" fontId="39" fillId="29" borderId="0" xfId="74" applyFont="1" applyFill="1" applyAlignment="1">
      <alignment horizontal="right" vertical="center"/>
    </xf>
    <xf numFmtId="10" fontId="3" fillId="26" borderId="0" xfId="74" applyNumberFormat="1" applyFont="1" applyFill="1" applyAlignment="1">
      <alignment horizontal="left" wrapText="1"/>
    </xf>
    <xf numFmtId="0" fontId="3" fillId="26" borderId="0" xfId="74" applyFont="1" applyFill="1" applyAlignment="1">
      <alignment horizontal="left" wrapText="1"/>
    </xf>
    <xf numFmtId="168" fontId="39" fillId="45" borderId="2" xfId="103" applyNumberFormat="1" applyFont="1" applyFill="1" applyBorder="1" applyAlignment="1" applyProtection="1">
      <alignment horizontal="right" vertical="center"/>
      <protection locked="0"/>
    </xf>
    <xf numFmtId="166" fontId="2" fillId="30" borderId="33" xfId="0" quotePrefix="1" applyNumberFormat="1" applyFont="1" applyFill="1" applyBorder="1" applyAlignment="1">
      <alignment horizontal="right" vertical="center" wrapText="1"/>
    </xf>
    <xf numFmtId="10" fontId="3" fillId="29" borderId="2" xfId="77" applyNumberFormat="1" applyFont="1" applyFill="1" applyBorder="1" applyAlignment="1" applyProtection="1">
      <alignment horizontal="right" vertical="top" indent="1"/>
      <protection locked="0"/>
    </xf>
    <xf numFmtId="168" fontId="1" fillId="29" borderId="0" xfId="77" applyNumberFormat="1" applyFont="1" applyFill="1" applyAlignment="1">
      <alignment vertical="center"/>
    </xf>
    <xf numFmtId="0" fontId="51" fillId="29" borderId="0" xfId="74" applyFont="1" applyFill="1" applyAlignment="1">
      <alignment horizontal="centerContinuous"/>
    </xf>
    <xf numFmtId="0" fontId="51" fillId="29" borderId="0" xfId="74" applyFont="1" applyFill="1" applyAlignment="1">
      <alignment horizontal="centerContinuous" wrapText="1"/>
    </xf>
    <xf numFmtId="168" fontId="3" fillId="0" borderId="107" xfId="103" applyNumberFormat="1" applyFont="1" applyFill="1" applyBorder="1" applyAlignment="1" applyProtection="1">
      <alignment horizontal="center" vertical="center"/>
      <protection locked="0"/>
    </xf>
    <xf numFmtId="168" fontId="3" fillId="42" borderId="26" xfId="103" applyNumberFormat="1" applyFont="1" applyFill="1" applyBorder="1" applyAlignment="1" applyProtection="1">
      <alignment horizontal="center" vertical="center"/>
      <protection locked="0"/>
    </xf>
    <xf numFmtId="0" fontId="79" fillId="29" borderId="42" xfId="74" applyFont="1" applyFill="1" applyBorder="1" applyAlignment="1">
      <alignment vertical="center"/>
    </xf>
    <xf numFmtId="0" fontId="80" fillId="29" borderId="76" xfId="74" applyFont="1" applyFill="1" applyBorder="1" applyAlignment="1">
      <alignment vertical="center"/>
    </xf>
    <xf numFmtId="0" fontId="81" fillId="35" borderId="0" xfId="0" applyFont="1" applyFill="1" applyAlignment="1">
      <alignment vertical="center"/>
    </xf>
    <xf numFmtId="166" fontId="37" fillId="31" borderId="30" xfId="0" applyNumberFormat="1" applyFont="1" applyFill="1" applyBorder="1" applyAlignment="1">
      <alignment horizontal="center" vertical="center" wrapText="1"/>
    </xf>
    <xf numFmtId="166" fontId="37" fillId="31" borderId="26" xfId="0" applyNumberFormat="1" applyFont="1" applyFill="1" applyBorder="1" applyAlignment="1">
      <alignment horizontal="center" vertical="center" wrapText="1"/>
    </xf>
    <xf numFmtId="0" fontId="3" fillId="26" borderId="30" xfId="0" applyFont="1" applyFill="1" applyBorder="1" applyAlignment="1">
      <alignment vertical="center"/>
    </xf>
    <xf numFmtId="10" fontId="3" fillId="26" borderId="0" xfId="103" applyNumberFormat="1" applyFont="1" applyFill="1" applyBorder="1" applyAlignment="1" applyProtection="1">
      <alignment horizontal="center" vertical="center"/>
    </xf>
    <xf numFmtId="0" fontId="2" fillId="26" borderId="0" xfId="0" applyFont="1" applyFill="1" applyAlignment="1">
      <alignment horizontal="right" vertical="center"/>
    </xf>
    <xf numFmtId="0" fontId="2" fillId="26" borderId="0" xfId="0" applyFont="1" applyFill="1" applyAlignment="1">
      <alignment horizontal="center" vertical="center"/>
    </xf>
    <xf numFmtId="2" fontId="2" fillId="29" borderId="0" xfId="76" applyNumberFormat="1" applyFont="1" applyFill="1" applyBorder="1" applyAlignment="1" applyProtection="1">
      <alignment horizontal="center" vertical="center"/>
    </xf>
    <xf numFmtId="0" fontId="3" fillId="26" borderId="0" xfId="0" applyFont="1" applyFill="1" applyAlignment="1">
      <alignment horizontal="right" vertical="center"/>
    </xf>
    <xf numFmtId="10" fontId="3" fillId="26" borderId="123" xfId="77" applyNumberFormat="1" applyFont="1" applyFill="1" applyBorder="1" applyAlignment="1" applyProtection="1">
      <alignment horizontal="center" vertical="center"/>
    </xf>
    <xf numFmtId="0" fontId="3" fillId="26" borderId="89" xfId="0" applyFont="1" applyFill="1" applyBorder="1" applyAlignment="1">
      <alignment horizontal="right" vertical="center"/>
    </xf>
    <xf numFmtId="10" fontId="3" fillId="26" borderId="60" xfId="77" applyNumberFormat="1" applyFont="1" applyFill="1" applyBorder="1" applyAlignment="1" applyProtection="1">
      <alignment horizontal="center" vertical="center"/>
    </xf>
    <xf numFmtId="0" fontId="65" fillId="26" borderId="0" xfId="0" applyFont="1" applyFill="1" applyAlignment="1">
      <alignment vertical="center"/>
    </xf>
    <xf numFmtId="166" fontId="3" fillId="29" borderId="15" xfId="74" applyNumberFormat="1" applyFont="1" applyFill="1" applyBorder="1" applyAlignment="1">
      <alignment horizontal="center" vertical="center"/>
    </xf>
    <xf numFmtId="166" fontId="3" fillId="29" borderId="22" xfId="74" applyNumberFormat="1" applyFont="1" applyFill="1" applyBorder="1" applyAlignment="1">
      <alignment horizontal="center" vertical="center"/>
    </xf>
    <xf numFmtId="0" fontId="3" fillId="26" borderId="20" xfId="74" applyFont="1" applyFill="1" applyBorder="1" applyAlignment="1">
      <alignment horizontal="center" vertical="center"/>
    </xf>
    <xf numFmtId="0" fontId="3" fillId="26" borderId="1" xfId="74" applyFont="1" applyFill="1" applyBorder="1" applyAlignment="1">
      <alignment vertical="center"/>
    </xf>
    <xf numFmtId="0" fontId="3" fillId="26" borderId="1" xfId="74" applyFont="1" applyFill="1" applyBorder="1" applyAlignment="1">
      <alignment horizontal="center" vertical="center"/>
    </xf>
    <xf numFmtId="172" fontId="28" fillId="26" borderId="80" xfId="74" quotePrefix="1" applyNumberFormat="1" applyFont="1" applyFill="1" applyBorder="1" applyAlignment="1">
      <alignment horizontal="center" vertical="center"/>
    </xf>
    <xf numFmtId="172" fontId="28" fillId="26" borderId="68" xfId="74" quotePrefix="1" applyNumberFormat="1" applyFont="1" applyFill="1" applyBorder="1" applyAlignment="1">
      <alignment horizontal="center" vertical="center"/>
    </xf>
    <xf numFmtId="0" fontId="3" fillId="26" borderId="81" xfId="74" applyFont="1" applyFill="1" applyBorder="1" applyAlignment="1">
      <alignment vertical="center"/>
    </xf>
    <xf numFmtId="0" fontId="3" fillId="26" borderId="118" xfId="74" applyFont="1" applyFill="1" applyBorder="1" applyAlignment="1">
      <alignment vertical="center"/>
    </xf>
    <xf numFmtId="0" fontId="3" fillId="26" borderId="119" xfId="74" applyFont="1" applyFill="1" applyBorder="1" applyAlignment="1">
      <alignment vertical="center"/>
    </xf>
    <xf numFmtId="3" fontId="3" fillId="0" borderId="1" xfId="74" applyNumberFormat="1" applyFont="1" applyBorder="1" applyAlignment="1" applyProtection="1">
      <alignment horizontal="right" vertical="center"/>
      <protection locked="0"/>
    </xf>
    <xf numFmtId="0" fontId="3" fillId="26" borderId="1" xfId="74" applyFont="1" applyFill="1" applyBorder="1" applyAlignment="1">
      <alignment horizontal="right" vertical="center"/>
    </xf>
    <xf numFmtId="0" fontId="3" fillId="26" borderId="118" xfId="74" applyFont="1" applyFill="1" applyBorder="1" applyAlignment="1">
      <alignment horizontal="right" vertical="center"/>
    </xf>
    <xf numFmtId="0" fontId="3" fillId="26" borderId="119" xfId="74" applyFont="1" applyFill="1" applyBorder="1" applyAlignment="1">
      <alignment horizontal="right" vertical="center"/>
    </xf>
    <xf numFmtId="167" fontId="3" fillId="26" borderId="22" xfId="74" applyNumberFormat="1" applyFont="1" applyFill="1" applyBorder="1" applyAlignment="1">
      <alignment horizontal="right" vertical="center"/>
    </xf>
    <xf numFmtId="167" fontId="3" fillId="26" borderId="119" xfId="74" applyNumberFormat="1" applyFont="1" applyFill="1" applyBorder="1" applyAlignment="1">
      <alignment horizontal="right" vertical="center"/>
    </xf>
    <xf numFmtId="168" fontId="3" fillId="26" borderId="11" xfId="74" applyNumberFormat="1" applyFont="1" applyFill="1" applyBorder="1" applyAlignment="1">
      <alignment horizontal="right" vertical="center"/>
    </xf>
    <xf numFmtId="168" fontId="3" fillId="26" borderId="1" xfId="74" applyNumberFormat="1" applyFont="1" applyFill="1" applyBorder="1" applyAlignment="1">
      <alignment horizontal="right" vertical="center"/>
    </xf>
    <xf numFmtId="3" fontId="3" fillId="29" borderId="22" xfId="74" applyNumberFormat="1" applyFont="1" applyFill="1" applyBorder="1" applyAlignment="1" applyProtection="1">
      <alignment horizontal="right" vertical="center"/>
      <protection locked="0"/>
    </xf>
    <xf numFmtId="167" fontId="3" fillId="26" borderId="1" xfId="74" applyNumberFormat="1" applyFont="1" applyFill="1" applyBorder="1" applyAlignment="1">
      <alignment horizontal="right" vertical="center"/>
    </xf>
    <xf numFmtId="167" fontId="3" fillId="26" borderId="12" xfId="74" applyNumberFormat="1" applyFont="1" applyFill="1" applyBorder="1" applyAlignment="1">
      <alignment horizontal="right" vertical="center"/>
    </xf>
    <xf numFmtId="0" fontId="3" fillId="26" borderId="22" xfId="74" applyFont="1" applyFill="1" applyBorder="1" applyAlignment="1">
      <alignment horizontal="right" vertical="center"/>
    </xf>
    <xf numFmtId="169" fontId="3" fillId="26" borderId="1" xfId="74" applyNumberFormat="1" applyFont="1" applyFill="1" applyBorder="1" applyAlignment="1">
      <alignment vertical="center"/>
    </xf>
    <xf numFmtId="0" fontId="59" fillId="29" borderId="0" xfId="74" applyFont="1" applyFill="1" applyAlignment="1">
      <alignment vertical="center"/>
    </xf>
    <xf numFmtId="3" fontId="3" fillId="26" borderId="1" xfId="74" applyNumberFormat="1" applyFont="1" applyFill="1" applyBorder="1" applyAlignment="1">
      <alignment horizontal="right" vertical="center"/>
    </xf>
    <xf numFmtId="0" fontId="3" fillId="26" borderId="12" xfId="74" applyFont="1" applyFill="1" applyBorder="1" applyAlignment="1">
      <alignment horizontal="right" vertical="center"/>
    </xf>
    <xf numFmtId="3" fontId="3" fillId="29" borderId="119" xfId="74" applyNumberFormat="1" applyFont="1" applyFill="1" applyBorder="1" applyAlignment="1" applyProtection="1">
      <alignment horizontal="right" vertical="center"/>
      <protection locked="0"/>
    </xf>
    <xf numFmtId="3" fontId="3" fillId="26" borderId="22" xfId="74" applyNumberFormat="1" applyFont="1" applyFill="1" applyBorder="1" applyAlignment="1">
      <alignment horizontal="right" vertical="center"/>
    </xf>
    <xf numFmtId="0" fontId="3" fillId="26" borderId="12" xfId="74" applyFont="1" applyFill="1" applyBorder="1" applyAlignment="1">
      <alignment vertical="center"/>
    </xf>
    <xf numFmtId="0" fontId="60" fillId="29" borderId="42" xfId="74" applyFont="1" applyFill="1" applyBorder="1" applyAlignment="1">
      <alignment vertical="center"/>
    </xf>
    <xf numFmtId="43" fontId="2" fillId="29" borderId="0" xfId="78" applyFont="1" applyFill="1" applyAlignment="1">
      <alignment horizontal="left" vertical="center"/>
    </xf>
    <xf numFmtId="166" fontId="3" fillId="29" borderId="0" xfId="0" applyNumberFormat="1" applyFont="1" applyFill="1" applyAlignment="1">
      <alignment horizontal="right" vertical="center"/>
    </xf>
    <xf numFmtId="166" fontId="38" fillId="31" borderId="28" xfId="0" applyNumberFormat="1" applyFont="1" applyFill="1" applyBorder="1" applyAlignment="1">
      <alignment horizontal="left" vertical="center"/>
    </xf>
    <xf numFmtId="171" fontId="3" fillId="32" borderId="125" xfId="0" applyNumberFormat="1" applyFont="1" applyFill="1" applyBorder="1" applyAlignment="1">
      <alignment horizontal="left" vertical="center" wrapText="1"/>
    </xf>
    <xf numFmtId="171" fontId="3" fillId="32" borderId="124" xfId="0" applyNumberFormat="1" applyFont="1" applyFill="1" applyBorder="1" applyAlignment="1">
      <alignment horizontal="left" vertical="center" wrapText="1"/>
    </xf>
    <xf numFmtId="10" fontId="3" fillId="29" borderId="126" xfId="76" applyNumberFormat="1" applyFont="1" applyFill="1" applyBorder="1" applyAlignment="1" applyProtection="1">
      <alignment horizontal="center" vertical="center"/>
    </xf>
    <xf numFmtId="166" fontId="37" fillId="31" borderId="127" xfId="0" applyNumberFormat="1" applyFont="1" applyFill="1" applyBorder="1" applyAlignment="1">
      <alignment horizontal="center" vertical="center"/>
    </xf>
    <xf numFmtId="3" fontId="3" fillId="29" borderId="2" xfId="0" applyNumberFormat="1" applyFont="1" applyFill="1" applyBorder="1" applyAlignment="1">
      <alignment horizontal="center" vertical="center"/>
    </xf>
    <xf numFmtId="166" fontId="37" fillId="31" borderId="2" xfId="0" applyNumberFormat="1" applyFont="1" applyFill="1" applyBorder="1" applyAlignment="1">
      <alignment horizontal="center" vertical="center"/>
    </xf>
    <xf numFmtId="10" fontId="3" fillId="24" borderId="2" xfId="76" applyNumberFormat="1" applyFont="1" applyFill="1" applyBorder="1" applyAlignment="1" applyProtection="1">
      <alignment horizontal="center" vertical="center"/>
      <protection locked="0"/>
    </xf>
    <xf numFmtId="168" fontId="84" fillId="29" borderId="0" xfId="77" applyNumberFormat="1" applyFont="1" applyFill="1" applyBorder="1" applyAlignment="1" applyProtection="1">
      <alignment horizontal="right" vertical="center"/>
      <protection locked="0"/>
    </xf>
    <xf numFmtId="168" fontId="46" fillId="29" borderId="2" xfId="77" applyNumberFormat="1" applyFont="1" applyFill="1" applyBorder="1" applyAlignment="1" applyProtection="1">
      <alignment horizontal="right" vertical="top"/>
      <protection locked="0"/>
    </xf>
    <xf numFmtId="10" fontId="3" fillId="29" borderId="2" xfId="76" applyNumberFormat="1" applyFont="1" applyFill="1" applyBorder="1" applyAlignment="1" applyProtection="1">
      <alignment horizontal="right" vertical="center" indent="2"/>
    </xf>
    <xf numFmtId="166" fontId="3" fillId="41" borderId="33" xfId="0" applyNumberFormat="1" applyFont="1" applyFill="1" applyBorder="1" applyAlignment="1">
      <alignment horizontal="left" vertical="top" indent="2"/>
    </xf>
    <xf numFmtId="166" fontId="3" fillId="30" borderId="33" xfId="0" applyNumberFormat="1" applyFont="1" applyFill="1" applyBorder="1" applyAlignment="1">
      <alignment horizontal="left" vertical="top" indent="3"/>
    </xf>
    <xf numFmtId="166" fontId="73" fillId="0" borderId="33" xfId="0" applyNumberFormat="1" applyFont="1" applyBorder="1" applyAlignment="1">
      <alignment horizontal="left" vertical="top" indent="2"/>
    </xf>
    <xf numFmtId="0" fontId="3" fillId="0" borderId="21" xfId="0" applyFont="1" applyBorder="1" applyAlignment="1">
      <alignment vertical="top"/>
    </xf>
    <xf numFmtId="0" fontId="3" fillId="0" borderId="15" xfId="0" applyFont="1" applyBorder="1" applyAlignment="1">
      <alignment vertical="top"/>
    </xf>
    <xf numFmtId="0" fontId="3" fillId="0" borderId="20" xfId="0" applyFont="1" applyBorder="1" applyAlignment="1">
      <alignment vertical="top"/>
    </xf>
    <xf numFmtId="0" fontId="3" fillId="0" borderId="1" xfId="0" applyFont="1" applyBorder="1" applyAlignment="1">
      <alignment vertical="top"/>
    </xf>
    <xf numFmtId="0" fontId="3" fillId="0" borderId="16" xfId="0" applyFont="1" applyBorder="1" applyAlignment="1">
      <alignment vertical="top"/>
    </xf>
    <xf numFmtId="0" fontId="3" fillId="0" borderId="135" xfId="0" applyFont="1" applyBorder="1" applyAlignment="1">
      <alignment vertical="top"/>
    </xf>
    <xf numFmtId="0" fontId="3" fillId="43" borderId="22" xfId="0" applyFont="1" applyFill="1" applyBorder="1" applyAlignment="1">
      <alignment vertical="top"/>
    </xf>
    <xf numFmtId="173" fontId="3" fillId="0" borderId="1" xfId="0" applyNumberFormat="1" applyFont="1" applyBorder="1" applyAlignment="1">
      <alignment vertical="top"/>
    </xf>
    <xf numFmtId="173" fontId="3" fillId="0" borderId="13" xfId="0" applyNumberFormat="1" applyFont="1" applyBorder="1" applyAlignment="1">
      <alignment vertical="top"/>
    </xf>
    <xf numFmtId="0" fontId="1" fillId="30" borderId="9" xfId="0" applyFont="1" applyFill="1" applyBorder="1" applyAlignment="1">
      <alignment horizontal="center" vertical="center" wrapText="1"/>
    </xf>
    <xf numFmtId="0" fontId="51" fillId="29" borderId="0" xfId="74" applyFont="1" applyFill="1" applyAlignment="1">
      <alignment vertical="center"/>
    </xf>
    <xf numFmtId="0" fontId="53" fillId="29" borderId="0" xfId="74" applyFont="1" applyFill="1" applyAlignment="1">
      <alignment horizontal="right" vertical="center"/>
    </xf>
    <xf numFmtId="0" fontId="3" fillId="38" borderId="0" xfId="0" applyFont="1" applyFill="1" applyAlignment="1">
      <alignment horizontal="left" vertical="center" wrapText="1"/>
    </xf>
    <xf numFmtId="10" fontId="3" fillId="26" borderId="0" xfId="74" applyNumberFormat="1" applyFont="1" applyFill="1" applyAlignment="1">
      <alignment horizontal="left" wrapText="1"/>
    </xf>
    <xf numFmtId="0" fontId="3" fillId="26" borderId="0" xfId="74" applyFont="1" applyFill="1" applyAlignment="1">
      <alignment horizontal="left" wrapText="1"/>
    </xf>
    <xf numFmtId="10" fontId="3" fillId="0" borderId="26" xfId="76" applyNumberFormat="1" applyFont="1" applyFill="1" applyBorder="1" applyAlignment="1" applyProtection="1">
      <alignment horizontal="left" vertical="center"/>
      <protection locked="0"/>
    </xf>
    <xf numFmtId="10" fontId="3" fillId="0" borderId="25" xfId="76" applyNumberFormat="1" applyFont="1" applyFill="1" applyBorder="1" applyAlignment="1" applyProtection="1">
      <alignment horizontal="left" vertical="center"/>
      <protection locked="0"/>
    </xf>
    <xf numFmtId="10" fontId="3" fillId="0" borderId="24" xfId="76" applyNumberFormat="1" applyFont="1" applyFill="1" applyBorder="1" applyAlignment="1" applyProtection="1">
      <alignment horizontal="left" vertical="center"/>
      <protection locked="0"/>
    </xf>
    <xf numFmtId="171" fontId="37" fillId="31" borderId="28" xfId="0" applyNumberFormat="1" applyFont="1" applyFill="1" applyBorder="1" applyAlignment="1">
      <alignment horizontal="center" vertical="center"/>
    </xf>
    <xf numFmtId="171" fontId="37" fillId="31" borderId="29" xfId="0" applyNumberFormat="1" applyFont="1" applyFill="1" applyBorder="1" applyAlignment="1">
      <alignment horizontal="center" vertical="center"/>
    </xf>
    <xf numFmtId="0" fontId="34" fillId="26" borderId="42" xfId="0" applyFont="1" applyFill="1" applyBorder="1" applyAlignment="1">
      <alignment horizontal="left"/>
    </xf>
    <xf numFmtId="0" fontId="34" fillId="26" borderId="0" xfId="0" applyFont="1" applyFill="1" applyAlignment="1">
      <alignment horizontal="left"/>
    </xf>
    <xf numFmtId="0" fontId="3" fillId="26" borderId="42" xfId="0" applyFont="1" applyFill="1" applyBorder="1" applyAlignment="1">
      <alignment horizontal="left" vertical="center" wrapText="1"/>
    </xf>
    <xf numFmtId="0" fontId="3" fillId="26" borderId="0" xfId="0" applyFont="1" applyFill="1" applyAlignment="1">
      <alignment horizontal="left" vertical="center" wrapText="1"/>
    </xf>
    <xf numFmtId="0" fontId="3" fillId="0" borderId="28" xfId="0" applyFont="1" applyBorder="1" applyAlignment="1" applyProtection="1">
      <alignment horizontal="left" vertical="top" wrapText="1"/>
      <protection locked="0"/>
    </xf>
    <xf numFmtId="0" fontId="3" fillId="0" borderId="38" xfId="0" applyFont="1" applyBorder="1" applyAlignment="1" applyProtection="1">
      <alignment horizontal="left" vertical="top" wrapText="1"/>
      <protection locked="0"/>
    </xf>
    <xf numFmtId="0" fontId="3" fillId="0" borderId="29" xfId="0" applyFont="1" applyBorder="1" applyAlignment="1" applyProtection="1">
      <alignment horizontal="left" vertical="top" wrapText="1"/>
      <protection locked="0"/>
    </xf>
    <xf numFmtId="0" fontId="1" fillId="35" borderId="0" xfId="0" applyFont="1" applyFill="1" applyAlignment="1">
      <alignment horizontal="center" wrapText="1"/>
    </xf>
    <xf numFmtId="0" fontId="1" fillId="35" borderId="0" xfId="0" applyFont="1" applyFill="1" applyAlignment="1">
      <alignment horizontal="center"/>
    </xf>
    <xf numFmtId="0" fontId="37" fillId="34" borderId="128" xfId="0" applyFont="1" applyFill="1" applyBorder="1" applyAlignment="1">
      <alignment wrapText="1"/>
    </xf>
    <xf numFmtId="0" fontId="37" fillId="34" borderId="129" xfId="0" applyFont="1" applyFill="1" applyBorder="1" applyAlignment="1">
      <alignment wrapText="1"/>
    </xf>
    <xf numFmtId="0" fontId="37" fillId="34" borderId="130" xfId="0" applyFont="1" applyFill="1" applyBorder="1" applyAlignment="1">
      <alignment wrapText="1"/>
    </xf>
    <xf numFmtId="0" fontId="3" fillId="36" borderId="131" xfId="0" applyFont="1" applyFill="1" applyBorder="1" applyAlignment="1">
      <alignment vertical="center" wrapText="1"/>
    </xf>
    <xf numFmtId="0" fontId="3" fillId="36" borderId="132" xfId="0" applyFont="1" applyFill="1" applyBorder="1" applyAlignment="1">
      <alignment vertical="center" wrapText="1"/>
    </xf>
    <xf numFmtId="0" fontId="3" fillId="36" borderId="133" xfId="0" applyFont="1" applyFill="1" applyBorder="1" applyAlignment="1">
      <alignment vertical="center" wrapText="1"/>
    </xf>
    <xf numFmtId="166" fontId="37" fillId="31" borderId="58" xfId="0" applyNumberFormat="1" applyFont="1" applyFill="1" applyBorder="1" applyAlignment="1">
      <alignment horizontal="center" vertical="center" wrapText="1"/>
    </xf>
    <xf numFmtId="166" fontId="37" fillId="31" borderId="59" xfId="0" applyNumberFormat="1" applyFont="1" applyFill="1" applyBorder="1" applyAlignment="1">
      <alignment horizontal="center" vertical="center" wrapText="1"/>
    </xf>
    <xf numFmtId="166" fontId="37" fillId="31" borderId="60" xfId="0" applyNumberFormat="1" applyFont="1" applyFill="1" applyBorder="1" applyAlignment="1">
      <alignment horizontal="center" vertical="center" wrapText="1"/>
    </xf>
    <xf numFmtId="166" fontId="3" fillId="30" borderId="48" xfId="0" applyNumberFormat="1" applyFont="1" applyFill="1" applyBorder="1" applyAlignment="1">
      <alignment horizontal="left" vertical="center"/>
    </xf>
    <xf numFmtId="166" fontId="3" fillId="30" borderId="30" xfId="0" applyNumberFormat="1" applyFont="1" applyFill="1" applyBorder="1" applyAlignment="1">
      <alignment horizontal="left" vertical="center"/>
    </xf>
    <xf numFmtId="166" fontId="3" fillId="30" borderId="47" xfId="0" applyNumberFormat="1" applyFont="1" applyFill="1" applyBorder="1" applyAlignment="1">
      <alignment horizontal="left" vertical="center"/>
    </xf>
    <xf numFmtId="3" fontId="39" fillId="28" borderId="45" xfId="78" applyNumberFormat="1" applyFont="1" applyFill="1" applyBorder="1" applyAlignment="1" applyProtection="1">
      <alignment horizontal="center" vertical="center"/>
      <protection locked="0"/>
    </xf>
    <xf numFmtId="3" fontId="39" fillId="28" borderId="46" xfId="78" applyNumberFormat="1" applyFont="1" applyFill="1" applyBorder="1" applyAlignment="1" applyProtection="1">
      <alignment horizontal="center" vertical="center"/>
      <protection locked="0"/>
    </xf>
    <xf numFmtId="166" fontId="37" fillId="31" borderId="49" xfId="0" applyNumberFormat="1" applyFont="1" applyFill="1" applyBorder="1" applyAlignment="1">
      <alignment horizontal="left" wrapText="1"/>
    </xf>
    <xf numFmtId="166" fontId="37" fillId="31" borderId="50" xfId="0" applyNumberFormat="1" applyFont="1" applyFill="1" applyBorder="1" applyAlignment="1">
      <alignment horizontal="left" wrapText="1"/>
    </xf>
    <xf numFmtId="166" fontId="37" fillId="31" borderId="51" xfId="0" applyNumberFormat="1" applyFont="1" applyFill="1" applyBorder="1" applyAlignment="1">
      <alignment horizontal="left" wrapText="1"/>
    </xf>
    <xf numFmtId="0" fontId="43" fillId="26" borderId="34" xfId="0" applyFont="1" applyFill="1" applyBorder="1" applyAlignment="1">
      <alignment horizontal="left" vertical="center" wrapText="1"/>
    </xf>
    <xf numFmtId="0" fontId="43" fillId="26" borderId="0" xfId="0" applyFont="1" applyFill="1" applyAlignment="1">
      <alignment horizontal="left" vertical="center" wrapText="1"/>
    </xf>
    <xf numFmtId="3" fontId="3" fillId="28" borderId="45" xfId="78" applyNumberFormat="1" applyFont="1" applyFill="1" applyBorder="1" applyAlignment="1" applyProtection="1">
      <alignment horizontal="center" vertical="center"/>
      <protection locked="0"/>
    </xf>
    <xf numFmtId="3" fontId="3" fillId="28" borderId="46" xfId="78" applyNumberFormat="1" applyFont="1" applyFill="1" applyBorder="1" applyAlignment="1" applyProtection="1">
      <alignment horizontal="center" vertical="center"/>
      <protection locked="0"/>
    </xf>
    <xf numFmtId="3" fontId="3" fillId="0" borderId="45" xfId="78" applyNumberFormat="1" applyFont="1" applyFill="1" applyBorder="1" applyAlignment="1" applyProtection="1">
      <alignment horizontal="center" vertical="center"/>
      <protection locked="0"/>
    </xf>
    <xf numFmtId="3" fontId="3" fillId="0" borderId="46" xfId="78" applyNumberFormat="1" applyFont="1" applyFill="1" applyBorder="1" applyAlignment="1" applyProtection="1">
      <alignment horizontal="center" vertical="center"/>
      <protection locked="0"/>
    </xf>
    <xf numFmtId="10" fontId="3" fillId="29" borderId="45" xfId="77" applyNumberFormat="1" applyFont="1" applyFill="1" applyBorder="1" applyAlignment="1" applyProtection="1">
      <alignment horizontal="center" vertical="center"/>
    </xf>
    <xf numFmtId="10" fontId="3" fillId="29" borderId="46" xfId="77" applyNumberFormat="1" applyFont="1" applyFill="1" applyBorder="1" applyAlignment="1" applyProtection="1">
      <alignment horizontal="center" vertical="center"/>
    </xf>
    <xf numFmtId="166" fontId="3" fillId="30" borderId="45" xfId="0" applyNumberFormat="1" applyFont="1" applyFill="1" applyBorder="1" applyAlignment="1">
      <alignment horizontal="left" vertical="center"/>
    </xf>
    <xf numFmtId="166" fontId="3" fillId="30" borderId="25" xfId="0" applyNumberFormat="1" applyFont="1" applyFill="1" applyBorder="1" applyAlignment="1">
      <alignment horizontal="left" vertical="center"/>
    </xf>
    <xf numFmtId="166" fontId="3" fillId="30" borderId="46" xfId="0" applyNumberFormat="1" applyFont="1" applyFill="1" applyBorder="1" applyAlignment="1">
      <alignment horizontal="left" vertical="center"/>
    </xf>
    <xf numFmtId="166" fontId="3" fillId="30" borderId="43" xfId="0" applyNumberFormat="1" applyFont="1" applyFill="1" applyBorder="1" applyAlignment="1">
      <alignment horizontal="left" vertical="center"/>
    </xf>
    <xf numFmtId="166" fontId="3" fillId="30" borderId="134" xfId="0" applyNumberFormat="1" applyFont="1" applyFill="1" applyBorder="1" applyAlignment="1">
      <alignment horizontal="left" vertical="center"/>
    </xf>
    <xf numFmtId="166" fontId="3" fillId="30" borderId="44" xfId="0" applyNumberFormat="1" applyFont="1" applyFill="1" applyBorder="1" applyAlignment="1">
      <alignment horizontal="left" vertical="center"/>
    </xf>
    <xf numFmtId="3" fontId="3" fillId="29" borderId="45" xfId="78" applyNumberFormat="1" applyFont="1" applyFill="1" applyBorder="1" applyAlignment="1" applyProtection="1">
      <alignment horizontal="center" vertical="center"/>
    </xf>
    <xf numFmtId="3" fontId="3" fillId="29" borderId="46" xfId="78" applyNumberFormat="1" applyFont="1" applyFill="1" applyBorder="1" applyAlignment="1" applyProtection="1">
      <alignment horizontal="center" vertical="center"/>
    </xf>
    <xf numFmtId="168" fontId="62" fillId="0" borderId="26" xfId="77" applyNumberFormat="1" applyFont="1" applyFill="1" applyBorder="1" applyAlignment="1" applyProtection="1">
      <alignment horizontal="left" vertical="top" wrapText="1"/>
      <protection locked="0"/>
    </xf>
    <xf numFmtId="168" fontId="62" fillId="0" borderId="25" xfId="77" applyNumberFormat="1" applyFont="1" applyFill="1" applyBorder="1" applyAlignment="1" applyProtection="1">
      <alignment horizontal="left" vertical="top" wrapText="1"/>
      <protection locked="0"/>
    </xf>
    <xf numFmtId="168" fontId="62" fillId="0" borderId="46" xfId="77" applyNumberFormat="1" applyFont="1" applyFill="1" applyBorder="1" applyAlignment="1" applyProtection="1">
      <alignment horizontal="left" vertical="top" wrapText="1"/>
      <protection locked="0"/>
    </xf>
    <xf numFmtId="166" fontId="37" fillId="31" borderId="28" xfId="0" applyNumberFormat="1" applyFont="1" applyFill="1" applyBorder="1" applyAlignment="1">
      <alignment horizontal="center" vertical="center" wrapText="1"/>
    </xf>
    <xf numFmtId="166" fontId="37" fillId="31" borderId="29" xfId="0" applyNumberFormat="1" applyFont="1" applyFill="1" applyBorder="1" applyAlignment="1">
      <alignment horizontal="center" vertical="center" wrapText="1"/>
    </xf>
    <xf numFmtId="166" fontId="37" fillId="31" borderId="28" xfId="0" applyNumberFormat="1" applyFont="1" applyFill="1" applyBorder="1" applyAlignment="1">
      <alignment horizontal="center" vertical="center"/>
    </xf>
    <xf numFmtId="166" fontId="37" fillId="31" borderId="38" xfId="0" applyNumberFormat="1" applyFont="1" applyFill="1" applyBorder="1" applyAlignment="1">
      <alignment horizontal="center" vertical="center"/>
    </xf>
    <xf numFmtId="166" fontId="37" fillId="31" borderId="75" xfId="0" applyNumberFormat="1" applyFont="1" applyFill="1" applyBorder="1" applyAlignment="1">
      <alignment horizontal="left" vertical="center"/>
    </xf>
    <xf numFmtId="166" fontId="37" fillId="31" borderId="66" xfId="0" applyNumberFormat="1" applyFont="1" applyFill="1" applyBorder="1" applyAlignment="1">
      <alignment horizontal="left" vertical="center"/>
    </xf>
    <xf numFmtId="0" fontId="0" fillId="0" borderId="25" xfId="0" applyBorder="1" applyAlignment="1">
      <alignment horizontal="left" vertical="top" wrapText="1"/>
    </xf>
    <xf numFmtId="0" fontId="0" fillId="0" borderId="46" xfId="0" applyBorder="1" applyAlignment="1">
      <alignment horizontal="left" vertical="top" wrapText="1"/>
    </xf>
    <xf numFmtId="168" fontId="62" fillId="0" borderId="0" xfId="77" applyNumberFormat="1" applyFont="1" applyFill="1" applyBorder="1" applyAlignment="1" applyProtection="1">
      <alignment horizontal="left" vertical="top" wrapText="1"/>
      <protection locked="0"/>
    </xf>
    <xf numFmtId="0" fontId="0" fillId="0" borderId="0" xfId="0" applyAlignment="1">
      <alignment horizontal="left" vertical="top" wrapText="1"/>
    </xf>
    <xf numFmtId="0" fontId="24" fillId="24" borderId="14" xfId="0" applyFont="1" applyFill="1" applyBorder="1" applyAlignment="1">
      <alignment vertical="top" wrapText="1"/>
    </xf>
    <xf numFmtId="0" fontId="25" fillId="0" borderId="14" xfId="0" applyFont="1" applyBorder="1" applyAlignment="1">
      <alignment vertical="top"/>
    </xf>
    <xf numFmtId="0" fontId="31" fillId="29" borderId="36" xfId="0" applyFont="1" applyFill="1" applyBorder="1" applyAlignment="1">
      <alignment horizontal="center" vertical="center" wrapText="1"/>
    </xf>
    <xf numFmtId="0" fontId="31" fillId="29" borderId="37" xfId="0" applyFont="1" applyFill="1" applyBorder="1" applyAlignment="1">
      <alignment horizontal="center" vertical="center" wrapText="1"/>
    </xf>
    <xf numFmtId="0" fontId="0" fillId="0" borderId="36" xfId="0" applyBorder="1" applyAlignment="1">
      <alignment horizontal="center" vertical="center"/>
    </xf>
    <xf numFmtId="0" fontId="0" fillId="0" borderId="37" xfId="0" applyBorder="1" applyAlignment="1">
      <alignment horizontal="center" vertical="center"/>
    </xf>
  </cellXfs>
  <cellStyles count="10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nnRpt Number" xfId="25" xr:uid="{00000000-0005-0000-0000-000018000000}"/>
    <cellStyle name="AnnRptNumber" xfId="26" xr:uid="{00000000-0005-0000-0000-000019000000}"/>
    <cellStyle name="Bad" xfId="27" builtinId="27" customBuiltin="1"/>
    <cellStyle name="Calculation" xfId="28" builtinId="22" customBuiltin="1"/>
    <cellStyle name="Check Cell" xfId="29" builtinId="23" customBuiltin="1"/>
    <cellStyle name="Comma" xfId="78" builtinId="3"/>
    <cellStyle name="Comma 2" xfId="30" xr:uid="{00000000-0005-0000-0000-00001E000000}"/>
    <cellStyle name="Comma 2 2" xfId="31" xr:uid="{00000000-0005-0000-0000-00001F000000}"/>
    <cellStyle name="Comma 2 2 2" xfId="32" xr:uid="{00000000-0005-0000-0000-000020000000}"/>
    <cellStyle name="Comma 2 2 2 2" xfId="81" xr:uid="{25C37B83-BA00-43DC-8CAE-69685E25332F}"/>
    <cellStyle name="Comma 2 2 3" xfId="80" xr:uid="{B23EDE1B-EA1C-4465-B61C-6EAF46001502}"/>
    <cellStyle name="Comma 2 3" xfId="33" xr:uid="{00000000-0005-0000-0000-000021000000}"/>
    <cellStyle name="Comma 2 3 2" xfId="82" xr:uid="{2C6C8426-3A97-4461-B86E-ACD47F31562D}"/>
    <cellStyle name="Comma 2 4" xfId="34" xr:uid="{00000000-0005-0000-0000-000022000000}"/>
    <cellStyle name="Comma 2 4 2" xfId="83" xr:uid="{5D8D402D-553D-47F6-A123-9B60D70AE86A}"/>
    <cellStyle name="Comma 2 5" xfId="35" xr:uid="{00000000-0005-0000-0000-000023000000}"/>
    <cellStyle name="Comma 2 5 2" xfId="84" xr:uid="{2FB25910-3CE1-4CFA-BBEE-BF09C9E1B787}"/>
    <cellStyle name="Comma 2 6" xfId="79" xr:uid="{C7A92796-B46A-4A60-8563-9DEBBD6BC560}"/>
    <cellStyle name="Comma 3" xfId="36" xr:uid="{00000000-0005-0000-0000-000024000000}"/>
    <cellStyle name="Comma 3 2" xfId="37" xr:uid="{00000000-0005-0000-0000-000025000000}"/>
    <cellStyle name="Comma 3 2 2" xfId="86" xr:uid="{C7EFDBCF-FFB4-4B3F-AA08-7E6B4572FBC2}"/>
    <cellStyle name="Comma 3 3" xfId="85" xr:uid="{7C3CF1D3-56F4-495C-859C-350A04DCFA1A}"/>
    <cellStyle name="Comma 4" xfId="38" xr:uid="{00000000-0005-0000-0000-000026000000}"/>
    <cellStyle name="Comma 4 2" xfId="87" xr:uid="{B8DEF7E4-BFB3-4987-AD55-8B6A2AB64DA8}"/>
    <cellStyle name="Comma 5" xfId="39" xr:uid="{00000000-0005-0000-0000-000027000000}"/>
    <cellStyle name="Comma 5 2" xfId="88" xr:uid="{AC20A902-0E6C-4845-91D4-45F60B72CF91}"/>
    <cellStyle name="Comma 6" xfId="40" xr:uid="{00000000-0005-0000-0000-000028000000}"/>
    <cellStyle name="Comma 6 2" xfId="89" xr:uid="{564E9785-38EF-44F1-ACA8-251117BCA483}"/>
    <cellStyle name="Comma 7" xfId="108" xr:uid="{89421BBA-F05B-426A-B9FA-8714659B0269}"/>
    <cellStyle name="Currency 2" xfId="41" xr:uid="{00000000-0005-0000-0000-000029000000}"/>
    <cellStyle name="Currency 2 2" xfId="42" xr:uid="{00000000-0005-0000-0000-00002A000000}"/>
    <cellStyle name="Currency 2 2 2" xfId="91" xr:uid="{E9B2D86C-B7B0-498D-BF55-71E334D4E543}"/>
    <cellStyle name="Currency 2 3" xfId="90" xr:uid="{642FB64A-FE4E-4E92-A1BF-1E3C89D89D9F}"/>
    <cellStyle name="Currency 3" xfId="43" xr:uid="{00000000-0005-0000-0000-00002B000000}"/>
    <cellStyle name="Currency 3 2" xfId="92" xr:uid="{0BD51741-0A01-48A5-9C3A-8B47E9E74DD4}"/>
    <cellStyle name="Currency 4" xfId="44" xr:uid="{00000000-0005-0000-0000-00002C000000}"/>
    <cellStyle name="Currency 4 2" xfId="93" xr:uid="{817B207E-6759-4206-9669-37E3DD0536F7}"/>
    <cellStyle name="Currency 5" xfId="45" xr:uid="{00000000-0005-0000-0000-00002D000000}"/>
    <cellStyle name="Currency 5 2" xfId="94" xr:uid="{A2AFE92A-E94A-466C-881B-AFFEFBE35790}"/>
    <cellStyle name="Currency 6" xfId="75" xr:uid="{00000000-0005-0000-0000-00002E000000}"/>
    <cellStyle name="Currency 6 2" xfId="107" xr:uid="{D005AE6A-DF03-448D-A2D8-F9E4486D64AD}"/>
    <cellStyle name="Euro" xfId="46" xr:uid="{00000000-0005-0000-0000-00002F000000}"/>
    <cellStyle name="Euro 2" xfId="47" xr:uid="{00000000-0005-0000-0000-000030000000}"/>
    <cellStyle name="Euro 2 2" xfId="48" xr:uid="{00000000-0005-0000-0000-000031000000}"/>
    <cellStyle name="Euro 2 2 2" xfId="96" xr:uid="{A065B532-DBC2-4A1B-9E7F-08C3B57153A2}"/>
    <cellStyle name="Euro 2 3" xfId="95" xr:uid="{4F0FAC83-A755-4C3B-AB8A-8ECAAA2E42A4}"/>
    <cellStyle name="Euro 3" xfId="49" xr:uid="{00000000-0005-0000-0000-000032000000}"/>
    <cellStyle name="Euro 3 2" xfId="97" xr:uid="{F65EF176-D825-4B4A-8E4F-701A2C7B0836}"/>
    <cellStyle name="Euro 4" xfId="50" xr:uid="{00000000-0005-0000-0000-000033000000}"/>
    <cellStyle name="Euro 4 2" xfId="98" xr:uid="{C41C107C-08C4-40E3-B60E-711B3D9E7A27}"/>
    <cellStyle name="Euro 5" xfId="51" xr:uid="{00000000-0005-0000-0000-000034000000}"/>
    <cellStyle name="Euro 5 2" xfId="99" xr:uid="{7E1A08A5-B8DF-4EAC-BAA2-20904A82215E}"/>
    <cellStyle name="Explanatory Text" xfId="52" builtinId="53" customBuiltin="1"/>
    <cellStyle name="Good" xfId="53" builtinId="26" customBuiltin="1"/>
    <cellStyle name="Hash" xfId="54" xr:uid="{00000000-0005-0000-0000-000037000000}"/>
    <cellStyle name="Heading 1" xfId="55" builtinId="16" customBuiltin="1"/>
    <cellStyle name="Heading 2" xfId="56" builtinId="17" customBuiltin="1"/>
    <cellStyle name="Heading 3" xfId="57" builtinId="18" customBuiltin="1"/>
    <cellStyle name="Heading 4" xfId="58" builtinId="19" customBuiltin="1"/>
    <cellStyle name="Input" xfId="59" builtinId="20" customBuiltin="1"/>
    <cellStyle name="Linked Cell" xfId="60" builtinId="24" customBuiltin="1"/>
    <cellStyle name="Neutral" xfId="61" builtinId="28" customBuiltin="1"/>
    <cellStyle name="Normal" xfId="0" builtinId="0"/>
    <cellStyle name="Normal 2" xfId="62" xr:uid="{00000000-0005-0000-0000-000040000000}"/>
    <cellStyle name="Normal 2 2" xfId="74" xr:uid="{00000000-0005-0000-0000-000041000000}"/>
    <cellStyle name="Normal 3" xfId="63" xr:uid="{00000000-0005-0000-0000-000042000000}"/>
    <cellStyle name="Normal 3 2" xfId="100" xr:uid="{6EAB2E87-1D0C-4CFC-A2A0-D798F7452220}"/>
    <cellStyle name="Note" xfId="64" builtinId="10" customBuiltin="1"/>
    <cellStyle name="Note 2" xfId="101" xr:uid="{96A2A640-574D-42CD-A4F1-E3CF7FDF3540}"/>
    <cellStyle name="Output" xfId="65" builtinId="21" customBuiltin="1"/>
    <cellStyle name="Percent" xfId="77" builtinId="5"/>
    <cellStyle name="Percent 2" xfId="66" xr:uid="{00000000-0005-0000-0000-000046000000}"/>
    <cellStyle name="Percent 2 2" xfId="67" xr:uid="{00000000-0005-0000-0000-000047000000}"/>
    <cellStyle name="Percent 2 2 2" xfId="103" xr:uid="{1C7B9759-0327-4021-8CBB-503AEE083FD3}"/>
    <cellStyle name="Percent 2 3" xfId="102" xr:uid="{5A96BEFE-62B6-4769-AE85-259F3B8A1C9E}"/>
    <cellStyle name="Percent 3" xfId="68" xr:uid="{00000000-0005-0000-0000-000048000000}"/>
    <cellStyle name="Percent 3 2" xfId="104" xr:uid="{132A32DC-1630-40B3-9819-61F63B297C00}"/>
    <cellStyle name="Percent 4" xfId="69" xr:uid="{00000000-0005-0000-0000-000049000000}"/>
    <cellStyle name="Percent 4 2" xfId="105" xr:uid="{2B7EA9C1-2E60-4B0F-8508-79D1E7541DA3}"/>
    <cellStyle name="Percent 5" xfId="70" xr:uid="{00000000-0005-0000-0000-00004A000000}"/>
    <cellStyle name="Percent 5 2" xfId="106" xr:uid="{84509EBD-22C9-487D-B295-6BE47F4DF5A6}"/>
    <cellStyle name="Percent 6" xfId="76" xr:uid="{00000000-0005-0000-0000-00004B000000}"/>
    <cellStyle name="Title" xfId="71" builtinId="15" customBuiltin="1"/>
    <cellStyle name="Total" xfId="72" builtinId="25" customBuiltin="1"/>
    <cellStyle name="Warning Text" xfId="73" builtinId="11" customBuiltin="1"/>
  </cellStyles>
  <dxfs count="8">
    <dxf>
      <fill>
        <patternFill>
          <bgColor theme="6"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numFmt numFmtId="168" formatCode="0.0%"/>
    </dxf>
    <dxf>
      <font>
        <color theme="1" tint="0.34998626667073579"/>
      </font>
    </dxf>
  </dxfs>
  <tableStyles count="0" defaultTableStyle="TableStyleMedium2" defaultPivotStyle="PivotStyleLight16"/>
  <colors>
    <mruColors>
      <color rgb="FFFFFF99"/>
      <color rgb="FFFFFFCC"/>
      <color rgb="FFFF99FF"/>
      <color rgb="FF0000FF"/>
      <color rgb="FF1442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Y1" dT="2025-06-22T11:09:00.93" personId="{00000000-0000-0000-0000-000000000000}" id="{6095D124-D77B-492D-857E-53A54C8DCCE8}">
    <text>Added for validation check</text>
  </threadedComment>
  <threadedComment ref="AA1" dT="2025-06-22T11:09:35.92" personId="{00000000-0000-0000-0000-000000000000}" id="{0F1E5F70-E5E5-4C8C-A583-426E61B41ED4}">
    <text>Added for migrations impact on headline</text>
  </threadedComment>
</ThreadedComments>
</file>

<file path=xl/threadedComments/threadedComment2.xml><?xml version="1.0" encoding="utf-8"?>
<ThreadedComments xmlns="http://schemas.microsoft.com/office/spreadsheetml/2018/threadedcomments" xmlns:x="http://schemas.openxmlformats.org/spreadsheetml/2006/main">
  <threadedComment ref="Q25" dT="2025-09-09T01:07:43.39" personId="{00000000-0000-0000-0000-000000000000}" id="{AB13D248-81B8-4389-AAE0-A8F1787087CC}">
    <text>Proportionally spread premium revenue change between H and GT</text>
  </threadedComment>
  <threadedComment ref="S25" dT="2025-09-09T01:09:33.97" personId="{00000000-0000-0000-0000-000000000000}" id="{DCBAEF60-AFFA-4CC8-AFF1-9A450C0EAD2A}">
    <text>Implied total premium revenue required to achieve fixed margin</text>
  </threadedComment>
  <threadedComment ref="V25" dT="2025-09-09T01:17:53.36" personId="{00000000-0000-0000-0000-000000000000}" id="{977144A4-A0C2-4D81-9B4A-CB6EB10663C6}">
    <text>Required GM% under new expense ratio</text>
  </threadedComment>
  <threadedComment ref="AP25" dT="2025-06-24T07:07:24.67" personId="{00000000-0000-0000-0000-000000000000}" id="{85AEFA5E-0A7E-4CAF-ABFE-82C9ACFC5621}">
    <text>Using Template B aggregate % hospital to calculate split for combined.</text>
  </threadedComment>
  <threadedComment ref="AQ25" dT="2025-06-24T09:00:33.31" personId="{00000000-0000-0000-0000-000000000000}" id="{52BEEF18-A6A8-4F40-B105-C3CB8D36DE01}">
    <text>Total combined products annualised revenue</text>
  </threadedComment>
  <threadedComment ref="Q37" dT="2025-09-09T01:07:43.39" personId="{00000000-0000-0000-0000-000000000000}" id="{A1E0B30D-EA70-44E6-8221-9D194438228C}">
    <text>Proportionally spread premium revenue change between H and GT</text>
  </threadedComment>
  <threadedComment ref="S37" dT="2025-09-09T01:09:33.97" personId="{00000000-0000-0000-0000-000000000000}" id="{E0F0F72D-E9D6-44CB-B7ED-17B0596C20C1}">
    <text>Implied total premium revenue required to achieve fixed margin</text>
  </threadedComment>
  <threadedComment ref="AO41" dT="2025-06-24T07:02:01.58" personId="{00000000-0000-0000-0000-000000000000}" id="{35C46CD0-6C73-4EEF-883E-4C450BD802C7}">
    <text>Notional increase such that premium increase differential between combined product hospital and general components is consistent with non-combined hospital and general treatment premium increase differential.
Requires there to be hospital and general treatment products.</text>
  </threadedComment>
  <threadedComment ref="AP41" dT="2025-06-24T07:02:01.58" personId="{00000000-0000-0000-0000-000000000000}" id="{D963610F-C09D-46E4-905B-CC89A4429DB1}">
    <text>Notional increase such that premium increase differential between combined product hospital and general components is consistent with non-combined hospital and general treatment premium increase differential.
Requires there to be hospital and general treatment products.</text>
  </threadedComment>
  <threadedComment ref="O55" dT="2025-06-18T18:52:13.30" personId="{00000000-0000-0000-0000-000000000000}" id="{B966810A-F00D-4F0C-A353-DDC9C8401E5F}">
    <text>PY25/26 Net benefits = Avg PY25/26 premium x (PY25/26 LY loss ratio)</text>
  </threadedComment>
  <threadedComment ref="O56" dT="2025-06-24T07:49:14.20" personId="{00000000-0000-0000-0000-000000000000}" id="{286A55AE-48A0-418E-B897-B8312D99CA85}">
    <text>PY25/26 Net benefits = Avg PY25/26 premium x (PY25/26 latest loss ratio - PY25/26 latest PL impact + PY25/26 LY assumed PL impact)</text>
  </threadedComment>
  <threadedComment ref="O57" dT="2025-06-18T18:52:13.30" personId="{00000000-0000-0000-0000-000000000000}" id="{9C690693-8F17-4B38-886F-4CE29C6EA684}">
    <text>PY26/27 Net benefits = Avg PY25/26 premium x (1+avg premium increase) x (PY26/27 latest loss ratio - PY26/27 latest PL impact + PY25/26 LY assumed PL impact)</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 Id="rId4" Type="http://schemas.microsoft.com/office/2017/10/relationships/threadedComment" Target="../threadedComments/threadedComment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B70"/>
  <sheetViews>
    <sheetView tabSelected="1" zoomScaleNormal="100" workbookViewId="0">
      <pane ySplit="3" topLeftCell="A4" activePane="bottomLeft" state="frozen"/>
      <selection pane="bottomLeft" activeCell="A3" sqref="A3"/>
    </sheetView>
  </sheetViews>
  <sheetFormatPr defaultColWidth="9.1796875" defaultRowHeight="12.5"/>
  <cols>
    <col min="1" max="1" width="21" bestFit="1" customWidth="1"/>
    <col min="2" max="2" width="9.453125" customWidth="1"/>
    <col min="3" max="3" width="13.453125" customWidth="1"/>
    <col min="4" max="4" width="16.453125" customWidth="1"/>
    <col min="5" max="10" width="13.453125" customWidth="1"/>
    <col min="11" max="11" width="17" customWidth="1"/>
    <col min="12" max="12" width="13.453125" customWidth="1"/>
    <col min="13" max="13" width="14.453125" customWidth="1"/>
    <col min="14" max="17" width="13.453125" customWidth="1"/>
    <col min="18" max="18" width="14.453125" customWidth="1"/>
    <col min="19" max="20" width="13.453125" customWidth="1"/>
    <col min="21" max="21" width="14.54296875" customWidth="1"/>
    <col min="22" max="22" width="14.7265625" customWidth="1"/>
    <col min="23" max="23" width="16.54296875" customWidth="1"/>
    <col min="24" max="24" width="14.7265625" customWidth="1"/>
    <col min="25" max="25" width="8.54296875" customWidth="1"/>
    <col min="26" max="27" width="14.54296875" customWidth="1"/>
  </cols>
  <sheetData>
    <row r="1" spans="1:28" ht="20.25" customHeight="1">
      <c r="A1" s="219" t="str">
        <f>"TEMPLATE A - Product Information - " &amp; prem_round &amp; " Premium Round - Protected information under PHI Act 2007 when completed"</f>
        <v>TEMPLATE A - Product Information - 2026 Premium Round - Protected information under PHI Act 2007 when completed</v>
      </c>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row>
    <row r="2" spans="1:28" ht="13">
      <c r="A2" s="460"/>
      <c r="B2" s="203"/>
      <c r="C2" s="218" t="s">
        <v>1</v>
      </c>
      <c r="D2" s="587" t="str">
        <f>IF('Template C - Snapshot'!$B$3="","",'Template C - Snapshot'!$B$3)</f>
        <v/>
      </c>
      <c r="E2" s="587"/>
      <c r="F2" s="587"/>
      <c r="G2" s="204"/>
      <c r="H2" s="205"/>
      <c r="I2" s="205"/>
      <c r="J2" s="205"/>
      <c r="K2" s="205"/>
      <c r="L2" s="205"/>
      <c r="M2" s="205"/>
      <c r="N2" s="205"/>
      <c r="O2" s="205"/>
      <c r="P2" s="205"/>
      <c r="Q2" s="216" t="s">
        <v>2</v>
      </c>
      <c r="R2" s="216"/>
      <c r="S2" s="217"/>
      <c r="T2" s="217"/>
      <c r="U2" s="217"/>
      <c r="V2" s="205"/>
      <c r="W2" s="205"/>
      <c r="X2" s="216" t="s">
        <v>2</v>
      </c>
      <c r="Y2" s="216"/>
      <c r="Z2" s="205"/>
      <c r="AA2" s="216" t="s">
        <v>2</v>
      </c>
      <c r="AB2" s="216"/>
    </row>
    <row r="3" spans="1:28" s="152" customFormat="1" ht="108" customHeight="1" thickBot="1">
      <c r="A3" s="208" t="s">
        <v>3</v>
      </c>
      <c r="B3" s="208" t="s">
        <v>4</v>
      </c>
      <c r="C3" s="208" t="s">
        <v>5</v>
      </c>
      <c r="D3" s="208" t="str">
        <f>"Product name as at 1 April " &amp; prem_round</f>
        <v>Product name as at 1 April 2026</v>
      </c>
      <c r="E3" s="208" t="str">
        <f>"Product status as at 1 April " &amp; prem_round</f>
        <v>Product status as at 1 April 2026</v>
      </c>
      <c r="F3" s="208" t="s">
        <v>0</v>
      </c>
      <c r="G3" s="208" t="str">
        <f>"Hospital category as at 1 April " &amp; prem_round</f>
        <v>Hospital category as at 1 April 2026</v>
      </c>
      <c r="H3" s="208" t="s">
        <v>6</v>
      </c>
      <c r="I3" s="208" t="str">
        <f>"Annual excess as at 1 April " &amp; prem_round</f>
        <v>Annual excess as at 1 April 2026</v>
      </c>
      <c r="J3" s="208" t="str">
        <f>"Annual co-payments as at 1 April " &amp; prem_round</f>
        <v>Annual co-payments as at 1 April 2026</v>
      </c>
      <c r="K3" s="209" t="str">
        <f>prem_round_prev &amp; " Monthly premium ($) for products existing on 30 September " &amp; (prem_round-1) &amp;
CHAR(10) &amp; CHAR(10) &amp; " Leave blank for new products commencing on 
1 April " &amp; prem_round</f>
        <v>2025 Monthly premium ($) for products existing on 30 September 2025
 Leave blank for new products commencing on 
1 April 2026</v>
      </c>
      <c r="L3" s="209" t="str">
        <f>prem_round &amp; " Monthly premium ($) as at 1 April " &amp; prem_round &amp; " - for all products (new and existing)"</f>
        <v>2026 Monthly premium ($) as at 1 April 2026 - for all products (new and existing)</v>
      </c>
      <c r="M3" s="210" t="str">
        <f>"Total number of people covered by this product as at 30 September " &amp; (prem_round-1) &amp;
CHAR(10) &amp; CHAR(10) &amp; " Leave blank for new products commencing on 1 April " &amp; prem_round</f>
        <v>Total number of people covered by this product as at 30 September 2025
 Leave blank for new products commencing on 1 April 2026</v>
      </c>
      <c r="N3" s="211" t="str">
        <f>"Total number of policies covered by this product as at 30 September " &amp; (prem_round-1)</f>
        <v>Total number of policies covered by this product as at 30 September 2025</v>
      </c>
      <c r="O3" s="208" t="str">
        <f>"Average age-based discount conversion factor " &amp; prem_round_prev</f>
        <v>Average age-based discount conversion factor 2025</v>
      </c>
      <c r="P3" s="208" t="str">
        <f>"Average age-based discount conversion factor " &amp; prem_round</f>
        <v>Average age-based discount conversion factor 2026</v>
      </c>
      <c r="Q3" s="212" t="s">
        <v>7</v>
      </c>
      <c r="R3" s="214" t="str">
        <f>"Monthly premium revenue " &amp; prem_round_prev &amp; CHAR(10) &amp; CHAR(10) &amp;
"Based on Apr" &amp; RIGHT(prem_round_prev,2) &amp; " monthly premium x number of policies as at 30 September " &amp; prem_round-1</f>
        <v>Monthly premium revenue 2025
Based on Apr25 monthly premium x number of policies as at 30 September 2025</v>
      </c>
      <c r="S3" s="208" t="str">
        <f>"Premium increase " &amp; prem_round &amp; " ($)"</f>
        <v>Premium increase 2026 ($)</v>
      </c>
      <c r="T3" s="208" t="str">
        <f>"Premium increase " &amp; prem_round &amp; " (%)"</f>
        <v>Premium increase 2026 (%)</v>
      </c>
      <c r="U3" s="215" t="str">
        <f>"Monthly premium revenue " &amp; prem_round &amp; CHAR(10) &amp; CHAR(10) &amp;
"Based on Apr" &amp; RIGHT(prem_round,2) &amp; " monthly premium x number of policies as at 30 September " &amp; prem_round-1</f>
        <v>Monthly premium revenue 2026
Based on Apr26 monthly premium x number of policies as at 30 September 2025</v>
      </c>
      <c r="V3" s="213" t="str">
        <f>"Estimated migration of people due to dependents reform over the 12 months from 1 April " &amp; prem_round</f>
        <v>Estimated migration of people due to dependents reform over the 12 months from 1 April 2026</v>
      </c>
      <c r="W3" s="208" t="str">
        <f>"Estimated migration of policies due to dependents reform over the 12 months from 1 April " &amp; prem_round</f>
        <v>Estimated migration of policies due to dependents reform over the 12 months from 1 April 2026</v>
      </c>
      <c r="X3" s="208" t="str">
        <f>"Estimated " &amp; prem_round &amp; " monthly premium ($) adjustment due to dependents reform migration"</f>
        <v>Estimated 2026 monthly premium ($) adjustment due to dependents reform migration</v>
      </c>
      <c r="Y3" s="208" t="s">
        <v>8</v>
      </c>
      <c r="Z3" s="209" t="str">
        <f>prem_round &amp; " Monthly effective average premium ($) as at 1 April " &amp; prem_round &amp; " of products to be migrated to (TERMINATING PRODUCTS ONLY)"</f>
        <v>2026 Monthly effective average premium ($) as at 1 April 2026 of products to be migrated to (TERMINATING PRODUCTS ONLY)</v>
      </c>
      <c r="AA3" s="208" t="str">
        <f>"Monthly premium revenue (including terminating products) " &amp; prem_round &amp; CHAR(10) &amp; CHAR(10) &amp;
"Based on Apr" &amp; RIGHT(prem_round,2) &amp; " monthly premium x number of policies as at 30 September " &amp; prem_round-1</f>
        <v>Monthly premium revenue (including terminating products) 2026
Based on Apr26 monthly premium x number of policies as at 30 September 2025</v>
      </c>
      <c r="AB3" s="215" t="str">
        <f>"Effective premium increase " &amp; prem_round &amp; " (%)"</f>
        <v>Effective premium increase 2026 (%)</v>
      </c>
    </row>
    <row r="4" spans="1:28" ht="13.5" customHeight="1">
      <c r="A4" s="461" t="str">
        <f t="shared" ref="A4:A67" si="0">$D$2</f>
        <v/>
      </c>
      <c r="B4" s="462"/>
      <c r="C4" s="31"/>
      <c r="D4" s="463"/>
      <c r="E4" s="462"/>
      <c r="F4" s="462"/>
      <c r="G4" s="253"/>
      <c r="H4" s="462"/>
      <c r="I4" s="30"/>
      <c r="J4" s="30"/>
      <c r="K4" s="22"/>
      <c r="L4" s="464"/>
      <c r="M4" s="142"/>
      <c r="N4" s="142"/>
      <c r="O4" s="299"/>
      <c r="P4" s="299"/>
      <c r="Q4" s="298">
        <f>(P4-O4)+1</f>
        <v>1</v>
      </c>
      <c r="R4" s="358">
        <f t="shared" ref="R4" si="1">K4*N4</f>
        <v>0</v>
      </c>
      <c r="S4" s="465" t="b">
        <f t="shared" ref="S4" si="2">IF(E4="TERMINATING","TERMINATING",IF(K4=0,IF(L4&gt;0,"NEW"),L4-K4))</f>
        <v>0</v>
      </c>
      <c r="T4" s="207" t="b">
        <f t="shared" ref="T4" si="3">IF(E4="TERMINATING","TERMINATING",IF(K4=0,IF(L4&gt;0,"NEW"),L4/K4-1))</f>
        <v>0</v>
      </c>
      <c r="U4" s="358">
        <f>N4*IF(E4="Terminating",K4,L4)</f>
        <v>0</v>
      </c>
      <c r="V4" s="144"/>
      <c r="W4" s="144"/>
      <c r="X4" s="358">
        <f>W4*IF(E4="Terminating",K4,L4)</f>
        <v>0</v>
      </c>
      <c r="Y4" s="255">
        <f>IF(ISERROR(FIND("Single",$H4)),1500,750)-I4</f>
        <v>1500</v>
      </c>
      <c r="Z4" s="464"/>
      <c r="AA4" s="358">
        <f t="shared" ref="AA4" si="4">IF($E4="Terminating",
IF(ISBLANK(Z4), "Migration-to new price required",$N4*Z4),
IF(ISBLANK(Z4),$N4*L4,NA()))</f>
        <v>0</v>
      </c>
      <c r="AB4" s="207" t="b">
        <f t="shared" ref="AB4:AB35" si="5">IF(ISBLANK(Z4),T4,Z4/K4-1)</f>
        <v>0</v>
      </c>
    </row>
    <row r="5" spans="1:28" ht="13.5" customHeight="1">
      <c r="A5" s="2" t="str">
        <f t="shared" si="0"/>
        <v/>
      </c>
      <c r="B5" s="462"/>
      <c r="C5" s="31"/>
      <c r="D5" s="463"/>
      <c r="E5" s="462"/>
      <c r="F5" s="462"/>
      <c r="G5" s="253"/>
      <c r="H5" s="462"/>
      <c r="I5" s="30"/>
      <c r="J5" s="30"/>
      <c r="K5" s="22"/>
      <c r="L5" s="464"/>
      <c r="M5" s="142"/>
      <c r="N5" s="142"/>
      <c r="O5" s="299"/>
      <c r="P5" s="299"/>
      <c r="Q5" s="300">
        <f t="shared" ref="Q5:Q68" si="6">(P5-O5)+1</f>
        <v>1</v>
      </c>
      <c r="R5" s="359">
        <f t="shared" ref="R5:R68" si="7">K5*N5</f>
        <v>0</v>
      </c>
      <c r="S5" s="18" t="b">
        <f t="shared" ref="S5:S68" si="8">IF(E5="TERMINATING","TERMINATING",IF(K5=0,IF(L5&gt;0,"NEW"),L5-K5))</f>
        <v>0</v>
      </c>
      <c r="T5" s="19" t="b">
        <f t="shared" ref="T5:T68" si="9">IF(E5="TERMINATING","TERMINATING",IF(K5=0,IF(L5&gt;0,"NEW"),L5/K5-1))</f>
        <v>0</v>
      </c>
      <c r="U5" s="359">
        <f t="shared" ref="U5:U68" si="10">N5*IF(E5="Terminating",K5,L5)</f>
        <v>0</v>
      </c>
      <c r="V5" s="144"/>
      <c r="W5" s="144"/>
      <c r="X5" s="359">
        <f t="shared" ref="X5:X68" si="11">W5*IF(E5="Terminating",K5,L5)</f>
        <v>0</v>
      </c>
      <c r="Y5" s="255">
        <f t="shared" ref="Y5:Y68" si="12">IF(ISERROR(FIND("Single",$H5)),1500,750)-I5</f>
        <v>1500</v>
      </c>
      <c r="Z5" s="464"/>
      <c r="AA5" s="358">
        <f>IF($E5="Terminating",
IF(ISBLANK(Z5), "Migration-to new price required",$N5*Z5),
IF(ISBLANK(Z5),$N5*L5,NA()))</f>
        <v>0</v>
      </c>
      <c r="AB5" s="207" t="b">
        <f t="shared" si="5"/>
        <v>0</v>
      </c>
    </row>
    <row r="6" spans="1:28" ht="13.5" customHeight="1">
      <c r="A6" s="2" t="str">
        <f t="shared" si="0"/>
        <v/>
      </c>
      <c r="B6" s="462"/>
      <c r="C6" s="31"/>
      <c r="D6" s="463"/>
      <c r="E6" s="462"/>
      <c r="F6" s="462"/>
      <c r="G6" s="253"/>
      <c r="H6" s="462"/>
      <c r="I6" s="30"/>
      <c r="J6" s="30"/>
      <c r="K6" s="22"/>
      <c r="L6" s="464"/>
      <c r="M6" s="142"/>
      <c r="N6" s="142"/>
      <c r="O6" s="299"/>
      <c r="P6" s="299"/>
      <c r="Q6" s="300">
        <f t="shared" si="6"/>
        <v>1</v>
      </c>
      <c r="R6" s="359">
        <f t="shared" si="7"/>
        <v>0</v>
      </c>
      <c r="S6" s="18" t="b">
        <f t="shared" si="8"/>
        <v>0</v>
      </c>
      <c r="T6" s="19" t="b">
        <f t="shared" si="9"/>
        <v>0</v>
      </c>
      <c r="U6" s="359">
        <f t="shared" si="10"/>
        <v>0</v>
      </c>
      <c r="V6" s="144"/>
      <c r="W6" s="144"/>
      <c r="X6" s="359">
        <f t="shared" si="11"/>
        <v>0</v>
      </c>
      <c r="Y6" s="255">
        <f t="shared" si="12"/>
        <v>1500</v>
      </c>
      <c r="Z6" s="464"/>
      <c r="AA6" s="358">
        <f t="shared" ref="AA6:AA69" si="13">IF($E6="Terminating",
IF(ISBLANK(Z6), "Migration-to new price required",$N6*Z6),
IF(ISBLANK(Z6),$N6*L6,NA()))</f>
        <v>0</v>
      </c>
      <c r="AB6" s="207" t="b">
        <f t="shared" si="5"/>
        <v>0</v>
      </c>
    </row>
    <row r="7" spans="1:28" ht="13.5" customHeight="1">
      <c r="A7" s="2" t="str">
        <f t="shared" si="0"/>
        <v/>
      </c>
      <c r="B7" s="462"/>
      <c r="C7" s="31"/>
      <c r="D7" s="463"/>
      <c r="E7" s="462"/>
      <c r="F7" s="462"/>
      <c r="G7" s="253"/>
      <c r="H7" s="462"/>
      <c r="I7" s="30"/>
      <c r="J7" s="30"/>
      <c r="K7" s="22"/>
      <c r="L7" s="464"/>
      <c r="M7" s="142"/>
      <c r="N7" s="142"/>
      <c r="O7" s="299"/>
      <c r="P7" s="299"/>
      <c r="Q7" s="300">
        <f t="shared" si="6"/>
        <v>1</v>
      </c>
      <c r="R7" s="359">
        <f t="shared" si="7"/>
        <v>0</v>
      </c>
      <c r="S7" s="18" t="b">
        <f t="shared" si="8"/>
        <v>0</v>
      </c>
      <c r="T7" s="19" t="b">
        <f t="shared" si="9"/>
        <v>0</v>
      </c>
      <c r="U7" s="359">
        <f t="shared" si="10"/>
        <v>0</v>
      </c>
      <c r="V7" s="144"/>
      <c r="W7" s="144"/>
      <c r="X7" s="359">
        <f t="shared" si="11"/>
        <v>0</v>
      </c>
      <c r="Y7" s="255">
        <f t="shared" si="12"/>
        <v>1500</v>
      </c>
      <c r="Z7" s="464"/>
      <c r="AA7" s="358">
        <f t="shared" si="13"/>
        <v>0</v>
      </c>
      <c r="AB7" s="207" t="b">
        <f t="shared" si="5"/>
        <v>0</v>
      </c>
    </row>
    <row r="8" spans="1:28" ht="13.5" customHeight="1">
      <c r="A8" s="2" t="str">
        <f t="shared" si="0"/>
        <v/>
      </c>
      <c r="B8" s="462"/>
      <c r="C8" s="31"/>
      <c r="D8" s="463"/>
      <c r="E8" s="462"/>
      <c r="F8" s="462"/>
      <c r="G8" s="253"/>
      <c r="H8" s="462"/>
      <c r="I8" s="30"/>
      <c r="J8" s="30"/>
      <c r="K8" s="22"/>
      <c r="L8" s="464"/>
      <c r="M8" s="142"/>
      <c r="N8" s="142"/>
      <c r="O8" s="299"/>
      <c r="P8" s="299"/>
      <c r="Q8" s="300">
        <f t="shared" si="6"/>
        <v>1</v>
      </c>
      <c r="R8" s="359">
        <f t="shared" si="7"/>
        <v>0</v>
      </c>
      <c r="S8" s="18" t="b">
        <f>IF(E8="TERMINATING","TERMINATING",IF(K8=0,IF(L8&gt;0,"NEW"),L8-K8))</f>
        <v>0</v>
      </c>
      <c r="T8" s="19" t="b">
        <f>IF(E8="TERMINATING","TERMINATING",IF(K8=0,IF(L8&gt;0,"NEW"),L8/K8-1))</f>
        <v>0</v>
      </c>
      <c r="U8" s="359">
        <f t="shared" si="10"/>
        <v>0</v>
      </c>
      <c r="V8" s="144"/>
      <c r="W8" s="144"/>
      <c r="X8" s="359">
        <f t="shared" si="11"/>
        <v>0</v>
      </c>
      <c r="Y8" s="255">
        <f t="shared" si="12"/>
        <v>1500</v>
      </c>
      <c r="Z8" s="464"/>
      <c r="AA8" s="358">
        <f t="shared" si="13"/>
        <v>0</v>
      </c>
      <c r="AB8" s="207" t="b">
        <f t="shared" si="5"/>
        <v>0</v>
      </c>
    </row>
    <row r="9" spans="1:28" ht="13.5" customHeight="1">
      <c r="A9" s="2" t="str">
        <f t="shared" si="0"/>
        <v/>
      </c>
      <c r="B9" s="462"/>
      <c r="C9" s="31"/>
      <c r="D9" s="463"/>
      <c r="E9" s="462"/>
      <c r="F9" s="462"/>
      <c r="G9" s="253"/>
      <c r="H9" s="462"/>
      <c r="I9" s="30"/>
      <c r="J9" s="30"/>
      <c r="K9" s="22"/>
      <c r="L9" s="464"/>
      <c r="M9" s="142"/>
      <c r="N9" s="142"/>
      <c r="O9" s="299"/>
      <c r="P9" s="299"/>
      <c r="Q9" s="300">
        <f t="shared" si="6"/>
        <v>1</v>
      </c>
      <c r="R9" s="359">
        <f t="shared" si="7"/>
        <v>0</v>
      </c>
      <c r="S9" s="18" t="b">
        <f t="shared" si="8"/>
        <v>0</v>
      </c>
      <c r="T9" s="19" t="b">
        <f t="shared" si="9"/>
        <v>0</v>
      </c>
      <c r="U9" s="359">
        <f t="shared" si="10"/>
        <v>0</v>
      </c>
      <c r="V9" s="144"/>
      <c r="W9" s="144"/>
      <c r="X9" s="359">
        <f t="shared" si="11"/>
        <v>0</v>
      </c>
      <c r="Y9" s="255">
        <f t="shared" si="12"/>
        <v>1500</v>
      </c>
      <c r="Z9" s="464"/>
      <c r="AA9" s="358">
        <f t="shared" si="13"/>
        <v>0</v>
      </c>
      <c r="AB9" s="207" t="b">
        <f t="shared" si="5"/>
        <v>0</v>
      </c>
    </row>
    <row r="10" spans="1:28" ht="13.5" customHeight="1">
      <c r="A10" s="2" t="str">
        <f t="shared" si="0"/>
        <v/>
      </c>
      <c r="B10" s="462"/>
      <c r="C10" s="31"/>
      <c r="D10" s="463"/>
      <c r="E10" s="462"/>
      <c r="F10" s="462"/>
      <c r="G10" s="254"/>
      <c r="H10" s="462"/>
      <c r="I10" s="30"/>
      <c r="J10" s="30"/>
      <c r="K10" s="22"/>
      <c r="L10" s="464"/>
      <c r="M10" s="142"/>
      <c r="N10" s="142"/>
      <c r="O10" s="299"/>
      <c r="P10" s="299"/>
      <c r="Q10" s="300">
        <f t="shared" si="6"/>
        <v>1</v>
      </c>
      <c r="R10" s="359">
        <f t="shared" si="7"/>
        <v>0</v>
      </c>
      <c r="S10" s="18" t="b">
        <f t="shared" si="8"/>
        <v>0</v>
      </c>
      <c r="T10" s="19" t="b">
        <f t="shared" si="9"/>
        <v>0</v>
      </c>
      <c r="U10" s="359">
        <f t="shared" si="10"/>
        <v>0</v>
      </c>
      <c r="V10" s="144"/>
      <c r="W10" s="144"/>
      <c r="X10" s="359">
        <f t="shared" si="11"/>
        <v>0</v>
      </c>
      <c r="Y10" s="255">
        <f t="shared" si="12"/>
        <v>1500</v>
      </c>
      <c r="Z10" s="464"/>
      <c r="AA10" s="358">
        <f t="shared" si="13"/>
        <v>0</v>
      </c>
      <c r="AB10" s="207" t="b">
        <f t="shared" si="5"/>
        <v>0</v>
      </c>
    </row>
    <row r="11" spans="1:28" ht="13.5" customHeight="1">
      <c r="A11" s="2" t="str">
        <f t="shared" si="0"/>
        <v/>
      </c>
      <c r="B11" s="462"/>
      <c r="C11" s="31"/>
      <c r="D11" s="463"/>
      <c r="E11" s="462"/>
      <c r="F11" s="462"/>
      <c r="G11" s="254"/>
      <c r="H11" s="462"/>
      <c r="I11" s="30"/>
      <c r="J11" s="30"/>
      <c r="K11" s="22"/>
      <c r="L11" s="464"/>
      <c r="M11" s="142"/>
      <c r="N11" s="142"/>
      <c r="O11" s="299"/>
      <c r="P11" s="299"/>
      <c r="Q11" s="300">
        <f t="shared" si="6"/>
        <v>1</v>
      </c>
      <c r="R11" s="359">
        <f t="shared" si="7"/>
        <v>0</v>
      </c>
      <c r="S11" s="18" t="b">
        <f t="shared" si="8"/>
        <v>0</v>
      </c>
      <c r="T11" s="19" t="b">
        <f t="shared" si="9"/>
        <v>0</v>
      </c>
      <c r="U11" s="359">
        <f t="shared" si="10"/>
        <v>0</v>
      </c>
      <c r="V11" s="144"/>
      <c r="W11" s="144"/>
      <c r="X11" s="359">
        <f t="shared" si="11"/>
        <v>0</v>
      </c>
      <c r="Y11" s="255">
        <f t="shared" si="12"/>
        <v>1500</v>
      </c>
      <c r="Z11" s="464"/>
      <c r="AA11" s="358">
        <f t="shared" si="13"/>
        <v>0</v>
      </c>
      <c r="AB11" s="207" t="b">
        <f t="shared" si="5"/>
        <v>0</v>
      </c>
    </row>
    <row r="12" spans="1:28" ht="13.5" customHeight="1">
      <c r="A12" s="2" t="str">
        <f t="shared" si="0"/>
        <v/>
      </c>
      <c r="B12" s="462"/>
      <c r="C12" s="31"/>
      <c r="D12" s="463"/>
      <c r="E12" s="462"/>
      <c r="F12" s="462"/>
      <c r="G12" s="254"/>
      <c r="H12" s="462"/>
      <c r="I12" s="30"/>
      <c r="J12" s="30"/>
      <c r="K12" s="22"/>
      <c r="L12" s="464"/>
      <c r="M12" s="142"/>
      <c r="N12" s="142"/>
      <c r="O12" s="299"/>
      <c r="P12" s="299"/>
      <c r="Q12" s="300">
        <f t="shared" si="6"/>
        <v>1</v>
      </c>
      <c r="R12" s="359">
        <f t="shared" si="7"/>
        <v>0</v>
      </c>
      <c r="S12" s="18" t="b">
        <f t="shared" si="8"/>
        <v>0</v>
      </c>
      <c r="T12" s="19" t="b">
        <f t="shared" si="9"/>
        <v>0</v>
      </c>
      <c r="U12" s="359">
        <f t="shared" si="10"/>
        <v>0</v>
      </c>
      <c r="V12" s="144"/>
      <c r="W12" s="144"/>
      <c r="X12" s="359">
        <f t="shared" si="11"/>
        <v>0</v>
      </c>
      <c r="Y12" s="255">
        <f t="shared" si="12"/>
        <v>1500</v>
      </c>
      <c r="Z12" s="464"/>
      <c r="AA12" s="358">
        <f t="shared" si="13"/>
        <v>0</v>
      </c>
      <c r="AB12" s="207" t="b">
        <f t="shared" si="5"/>
        <v>0</v>
      </c>
    </row>
    <row r="13" spans="1:28" ht="13.5" customHeight="1">
      <c r="A13" s="2" t="str">
        <f t="shared" si="0"/>
        <v/>
      </c>
      <c r="B13" s="462"/>
      <c r="C13" s="31"/>
      <c r="D13" s="463"/>
      <c r="E13" s="462"/>
      <c r="F13" s="20"/>
      <c r="G13" s="254"/>
      <c r="H13" s="20"/>
      <c r="I13" s="30"/>
      <c r="J13" s="30"/>
      <c r="K13" s="22"/>
      <c r="L13" s="464"/>
      <c r="M13" s="142"/>
      <c r="N13" s="142"/>
      <c r="O13" s="299"/>
      <c r="P13" s="299"/>
      <c r="Q13" s="300">
        <f t="shared" si="6"/>
        <v>1</v>
      </c>
      <c r="R13" s="359">
        <f t="shared" si="7"/>
        <v>0</v>
      </c>
      <c r="S13" s="18" t="b">
        <f t="shared" si="8"/>
        <v>0</v>
      </c>
      <c r="T13" s="19" t="b">
        <f t="shared" si="9"/>
        <v>0</v>
      </c>
      <c r="U13" s="359">
        <f t="shared" si="10"/>
        <v>0</v>
      </c>
      <c r="V13" s="144"/>
      <c r="W13" s="144"/>
      <c r="X13" s="359">
        <f t="shared" si="11"/>
        <v>0</v>
      </c>
      <c r="Y13" s="255">
        <f t="shared" si="12"/>
        <v>1500</v>
      </c>
      <c r="Z13" s="464"/>
      <c r="AA13" s="358">
        <f t="shared" si="13"/>
        <v>0</v>
      </c>
      <c r="AB13" s="207" t="b">
        <f t="shared" si="5"/>
        <v>0</v>
      </c>
    </row>
    <row r="14" spans="1:28" ht="13.5" customHeight="1">
      <c r="A14" s="2" t="str">
        <f t="shared" si="0"/>
        <v/>
      </c>
      <c r="B14" s="462"/>
      <c r="C14" s="31"/>
      <c r="D14" s="463"/>
      <c r="E14" s="462"/>
      <c r="F14" s="462"/>
      <c r="G14" s="253"/>
      <c r="H14" s="462"/>
      <c r="I14" s="30"/>
      <c r="J14" s="30"/>
      <c r="K14" s="22"/>
      <c r="L14" s="464"/>
      <c r="M14" s="142"/>
      <c r="N14" s="142"/>
      <c r="O14" s="299"/>
      <c r="P14" s="299"/>
      <c r="Q14" s="300">
        <f t="shared" si="6"/>
        <v>1</v>
      </c>
      <c r="R14" s="359">
        <f t="shared" si="7"/>
        <v>0</v>
      </c>
      <c r="S14" s="18" t="b">
        <f t="shared" si="8"/>
        <v>0</v>
      </c>
      <c r="T14" s="19" t="b">
        <f t="shared" si="9"/>
        <v>0</v>
      </c>
      <c r="U14" s="359">
        <f t="shared" si="10"/>
        <v>0</v>
      </c>
      <c r="V14" s="144"/>
      <c r="W14" s="144"/>
      <c r="X14" s="359">
        <f t="shared" si="11"/>
        <v>0</v>
      </c>
      <c r="Y14" s="255">
        <f t="shared" si="12"/>
        <v>1500</v>
      </c>
      <c r="Z14" s="464"/>
      <c r="AA14" s="358">
        <f t="shared" si="13"/>
        <v>0</v>
      </c>
      <c r="AB14" s="207" t="b">
        <f t="shared" si="5"/>
        <v>0</v>
      </c>
    </row>
    <row r="15" spans="1:28" ht="13.5" customHeight="1">
      <c r="A15" s="2" t="str">
        <f t="shared" si="0"/>
        <v/>
      </c>
      <c r="B15" s="462"/>
      <c r="C15" s="31"/>
      <c r="D15" s="463"/>
      <c r="E15" s="462"/>
      <c r="F15" s="462"/>
      <c r="G15" s="254"/>
      <c r="H15" s="462"/>
      <c r="I15" s="30"/>
      <c r="J15" s="30"/>
      <c r="K15" s="22"/>
      <c r="L15" s="464"/>
      <c r="M15" s="142"/>
      <c r="N15" s="142"/>
      <c r="O15" s="299"/>
      <c r="P15" s="299"/>
      <c r="Q15" s="300">
        <f t="shared" si="6"/>
        <v>1</v>
      </c>
      <c r="R15" s="359">
        <f t="shared" si="7"/>
        <v>0</v>
      </c>
      <c r="S15" s="18" t="b">
        <f t="shared" si="8"/>
        <v>0</v>
      </c>
      <c r="T15" s="19" t="b">
        <f t="shared" si="9"/>
        <v>0</v>
      </c>
      <c r="U15" s="359">
        <f t="shared" si="10"/>
        <v>0</v>
      </c>
      <c r="V15" s="144"/>
      <c r="W15" s="144"/>
      <c r="X15" s="359">
        <f t="shared" si="11"/>
        <v>0</v>
      </c>
      <c r="Y15" s="255">
        <f t="shared" si="12"/>
        <v>1500</v>
      </c>
      <c r="Z15" s="464"/>
      <c r="AA15" s="358">
        <f t="shared" si="13"/>
        <v>0</v>
      </c>
      <c r="AB15" s="207" t="b">
        <f t="shared" si="5"/>
        <v>0</v>
      </c>
    </row>
    <row r="16" spans="1:28" ht="13.5" customHeight="1">
      <c r="A16" s="2" t="str">
        <f t="shared" si="0"/>
        <v/>
      </c>
      <c r="B16" s="462"/>
      <c r="C16" s="31"/>
      <c r="D16" s="463"/>
      <c r="E16" s="462"/>
      <c r="F16" s="462"/>
      <c r="G16" s="254"/>
      <c r="H16" s="462"/>
      <c r="I16" s="30"/>
      <c r="J16" s="30"/>
      <c r="K16" s="22"/>
      <c r="L16" s="464"/>
      <c r="M16" s="142"/>
      <c r="N16" s="142"/>
      <c r="O16" s="299"/>
      <c r="P16" s="299"/>
      <c r="Q16" s="300">
        <f t="shared" si="6"/>
        <v>1</v>
      </c>
      <c r="R16" s="359">
        <f t="shared" si="7"/>
        <v>0</v>
      </c>
      <c r="S16" s="18" t="b">
        <f t="shared" si="8"/>
        <v>0</v>
      </c>
      <c r="T16" s="19" t="b">
        <f t="shared" si="9"/>
        <v>0</v>
      </c>
      <c r="U16" s="359">
        <f t="shared" si="10"/>
        <v>0</v>
      </c>
      <c r="V16" s="144"/>
      <c r="W16" s="144"/>
      <c r="X16" s="359">
        <f t="shared" si="11"/>
        <v>0</v>
      </c>
      <c r="Y16" s="255">
        <f t="shared" si="12"/>
        <v>1500</v>
      </c>
      <c r="Z16" s="464"/>
      <c r="AA16" s="358">
        <f t="shared" si="13"/>
        <v>0</v>
      </c>
      <c r="AB16" s="207" t="b">
        <f t="shared" si="5"/>
        <v>0</v>
      </c>
    </row>
    <row r="17" spans="1:28" ht="13.5" customHeight="1">
      <c r="A17" s="2" t="str">
        <f t="shared" si="0"/>
        <v/>
      </c>
      <c r="B17" s="462"/>
      <c r="C17" s="31"/>
      <c r="D17" s="463"/>
      <c r="E17" s="462"/>
      <c r="F17" s="462"/>
      <c r="G17" s="254"/>
      <c r="H17" s="462"/>
      <c r="I17" s="30"/>
      <c r="J17" s="30"/>
      <c r="K17" s="22"/>
      <c r="L17" s="464"/>
      <c r="M17" s="142"/>
      <c r="N17" s="142"/>
      <c r="O17" s="299"/>
      <c r="P17" s="299"/>
      <c r="Q17" s="300">
        <f t="shared" si="6"/>
        <v>1</v>
      </c>
      <c r="R17" s="359">
        <f t="shared" si="7"/>
        <v>0</v>
      </c>
      <c r="S17" s="18" t="b">
        <f t="shared" si="8"/>
        <v>0</v>
      </c>
      <c r="T17" s="19" t="b">
        <f t="shared" si="9"/>
        <v>0</v>
      </c>
      <c r="U17" s="359">
        <f t="shared" si="10"/>
        <v>0</v>
      </c>
      <c r="V17" s="144"/>
      <c r="W17" s="144"/>
      <c r="X17" s="359">
        <f t="shared" si="11"/>
        <v>0</v>
      </c>
      <c r="Y17" s="255">
        <f t="shared" si="12"/>
        <v>1500</v>
      </c>
      <c r="Z17" s="464"/>
      <c r="AA17" s="358">
        <f t="shared" si="13"/>
        <v>0</v>
      </c>
      <c r="AB17" s="207" t="b">
        <f t="shared" si="5"/>
        <v>0</v>
      </c>
    </row>
    <row r="18" spans="1:28" ht="13.5" customHeight="1">
      <c r="A18" s="2" t="str">
        <f t="shared" si="0"/>
        <v/>
      </c>
      <c r="B18" s="462"/>
      <c r="C18" s="31"/>
      <c r="D18" s="463"/>
      <c r="E18" s="462"/>
      <c r="F18" s="462"/>
      <c r="G18" s="254"/>
      <c r="H18" s="462"/>
      <c r="I18" s="30"/>
      <c r="J18" s="30"/>
      <c r="K18" s="22"/>
      <c r="L18" s="464"/>
      <c r="M18" s="142"/>
      <c r="N18" s="142"/>
      <c r="O18" s="299"/>
      <c r="P18" s="299"/>
      <c r="Q18" s="300">
        <f t="shared" si="6"/>
        <v>1</v>
      </c>
      <c r="R18" s="359">
        <f t="shared" si="7"/>
        <v>0</v>
      </c>
      <c r="S18" s="18" t="b">
        <f t="shared" si="8"/>
        <v>0</v>
      </c>
      <c r="T18" s="19" t="b">
        <f t="shared" si="9"/>
        <v>0</v>
      </c>
      <c r="U18" s="359">
        <f t="shared" si="10"/>
        <v>0</v>
      </c>
      <c r="V18" s="144"/>
      <c r="W18" s="144"/>
      <c r="X18" s="359">
        <f t="shared" si="11"/>
        <v>0</v>
      </c>
      <c r="Y18" s="255">
        <f t="shared" si="12"/>
        <v>1500</v>
      </c>
      <c r="Z18" s="464"/>
      <c r="AA18" s="358">
        <f t="shared" si="13"/>
        <v>0</v>
      </c>
      <c r="AB18" s="207" t="b">
        <f t="shared" si="5"/>
        <v>0</v>
      </c>
    </row>
    <row r="19" spans="1:28" ht="13.5" customHeight="1">
      <c r="A19" s="2" t="str">
        <f t="shared" si="0"/>
        <v/>
      </c>
      <c r="B19" s="20"/>
      <c r="C19" s="31"/>
      <c r="D19" s="463"/>
      <c r="E19" s="20"/>
      <c r="F19" s="20"/>
      <c r="G19" s="254"/>
      <c r="H19" s="20"/>
      <c r="I19" s="30"/>
      <c r="J19" s="30"/>
      <c r="K19" s="22"/>
      <c r="L19" s="464"/>
      <c r="M19" s="142"/>
      <c r="N19" s="142"/>
      <c r="O19" s="299"/>
      <c r="P19" s="299"/>
      <c r="Q19" s="300">
        <f t="shared" si="6"/>
        <v>1</v>
      </c>
      <c r="R19" s="359">
        <f t="shared" si="7"/>
        <v>0</v>
      </c>
      <c r="S19" s="18" t="b">
        <f t="shared" si="8"/>
        <v>0</v>
      </c>
      <c r="T19" s="19" t="b">
        <f t="shared" si="9"/>
        <v>0</v>
      </c>
      <c r="U19" s="359">
        <f t="shared" si="10"/>
        <v>0</v>
      </c>
      <c r="V19" s="144"/>
      <c r="W19" s="144"/>
      <c r="X19" s="359">
        <f t="shared" si="11"/>
        <v>0</v>
      </c>
      <c r="Y19" s="255">
        <f t="shared" si="12"/>
        <v>1500</v>
      </c>
      <c r="Z19" s="464"/>
      <c r="AA19" s="358">
        <f t="shared" si="13"/>
        <v>0</v>
      </c>
      <c r="AB19" s="207" t="b">
        <f t="shared" si="5"/>
        <v>0</v>
      </c>
    </row>
    <row r="20" spans="1:28" ht="13.5" customHeight="1">
      <c r="A20" s="2" t="str">
        <f t="shared" si="0"/>
        <v/>
      </c>
      <c r="B20" s="20"/>
      <c r="C20" s="31"/>
      <c r="D20" s="463"/>
      <c r="E20" s="20"/>
      <c r="F20" s="20"/>
      <c r="G20" s="21"/>
      <c r="H20" s="20"/>
      <c r="I20" s="30"/>
      <c r="J20" s="30"/>
      <c r="K20" s="22"/>
      <c r="L20" s="464"/>
      <c r="M20" s="142"/>
      <c r="N20" s="142"/>
      <c r="O20" s="299"/>
      <c r="P20" s="299"/>
      <c r="Q20" s="300">
        <f t="shared" si="6"/>
        <v>1</v>
      </c>
      <c r="R20" s="359">
        <f t="shared" si="7"/>
        <v>0</v>
      </c>
      <c r="S20" s="18" t="b">
        <f t="shared" si="8"/>
        <v>0</v>
      </c>
      <c r="T20" s="19" t="b">
        <f t="shared" si="9"/>
        <v>0</v>
      </c>
      <c r="U20" s="359">
        <f t="shared" si="10"/>
        <v>0</v>
      </c>
      <c r="V20" s="144"/>
      <c r="W20" s="144"/>
      <c r="X20" s="359">
        <f t="shared" si="11"/>
        <v>0</v>
      </c>
      <c r="Y20" s="255">
        <f t="shared" si="12"/>
        <v>1500</v>
      </c>
      <c r="Z20" s="464"/>
      <c r="AA20" s="358">
        <f t="shared" si="13"/>
        <v>0</v>
      </c>
      <c r="AB20" s="207" t="b">
        <f t="shared" si="5"/>
        <v>0</v>
      </c>
    </row>
    <row r="21" spans="1:28" ht="13.5" customHeight="1">
      <c r="A21" s="2" t="str">
        <f t="shared" si="0"/>
        <v/>
      </c>
      <c r="B21" s="20"/>
      <c r="C21" s="31"/>
      <c r="D21" s="463"/>
      <c r="E21" s="20"/>
      <c r="F21" s="20"/>
      <c r="G21" s="21"/>
      <c r="H21" s="20"/>
      <c r="I21" s="30"/>
      <c r="J21" s="30"/>
      <c r="K21" s="22"/>
      <c r="L21" s="464"/>
      <c r="M21" s="142"/>
      <c r="N21" s="142"/>
      <c r="O21" s="299"/>
      <c r="P21" s="299"/>
      <c r="Q21" s="300">
        <f t="shared" si="6"/>
        <v>1</v>
      </c>
      <c r="R21" s="359">
        <f t="shared" si="7"/>
        <v>0</v>
      </c>
      <c r="S21" s="18" t="b">
        <f t="shared" si="8"/>
        <v>0</v>
      </c>
      <c r="T21" s="19" t="b">
        <f t="shared" si="9"/>
        <v>0</v>
      </c>
      <c r="U21" s="359">
        <f t="shared" si="10"/>
        <v>0</v>
      </c>
      <c r="V21" s="144"/>
      <c r="W21" s="144"/>
      <c r="X21" s="359">
        <f t="shared" si="11"/>
        <v>0</v>
      </c>
      <c r="Y21" s="255">
        <f t="shared" si="12"/>
        <v>1500</v>
      </c>
      <c r="Z21" s="464"/>
      <c r="AA21" s="358">
        <f t="shared" si="13"/>
        <v>0</v>
      </c>
      <c r="AB21" s="207" t="b">
        <f t="shared" si="5"/>
        <v>0</v>
      </c>
    </row>
    <row r="22" spans="1:28" ht="13.5" customHeight="1">
      <c r="A22" s="2" t="str">
        <f t="shared" si="0"/>
        <v/>
      </c>
      <c r="B22" s="20"/>
      <c r="C22" s="31"/>
      <c r="D22" s="463"/>
      <c r="E22" s="20"/>
      <c r="F22" s="20"/>
      <c r="G22" s="21"/>
      <c r="H22" s="20"/>
      <c r="I22" s="30"/>
      <c r="J22" s="30"/>
      <c r="K22" s="22"/>
      <c r="L22" s="464"/>
      <c r="M22" s="142"/>
      <c r="N22" s="142"/>
      <c r="O22" s="299"/>
      <c r="P22" s="299"/>
      <c r="Q22" s="300">
        <f t="shared" si="6"/>
        <v>1</v>
      </c>
      <c r="R22" s="359">
        <f t="shared" si="7"/>
        <v>0</v>
      </c>
      <c r="S22" s="18" t="b">
        <f t="shared" si="8"/>
        <v>0</v>
      </c>
      <c r="T22" s="19" t="b">
        <f t="shared" si="9"/>
        <v>0</v>
      </c>
      <c r="U22" s="359">
        <f t="shared" si="10"/>
        <v>0</v>
      </c>
      <c r="V22" s="144"/>
      <c r="W22" s="144"/>
      <c r="X22" s="359">
        <f t="shared" si="11"/>
        <v>0</v>
      </c>
      <c r="Y22" s="255">
        <f t="shared" si="12"/>
        <v>1500</v>
      </c>
      <c r="Z22" s="464"/>
      <c r="AA22" s="358">
        <f t="shared" si="13"/>
        <v>0</v>
      </c>
      <c r="AB22" s="207" t="b">
        <f t="shared" si="5"/>
        <v>0</v>
      </c>
    </row>
    <row r="23" spans="1:28" ht="13.5" customHeight="1">
      <c r="A23" s="2" t="str">
        <f t="shared" si="0"/>
        <v/>
      </c>
      <c r="B23" s="20"/>
      <c r="C23" s="31"/>
      <c r="D23" s="463"/>
      <c r="E23" s="20"/>
      <c r="F23" s="20"/>
      <c r="G23" s="21"/>
      <c r="H23" s="20"/>
      <c r="I23" s="30"/>
      <c r="J23" s="30"/>
      <c r="K23" s="22"/>
      <c r="L23" s="464"/>
      <c r="M23" s="142"/>
      <c r="N23" s="142"/>
      <c r="O23" s="299"/>
      <c r="P23" s="299"/>
      <c r="Q23" s="300">
        <f t="shared" si="6"/>
        <v>1</v>
      </c>
      <c r="R23" s="359">
        <f t="shared" si="7"/>
        <v>0</v>
      </c>
      <c r="S23" s="18" t="b">
        <f t="shared" si="8"/>
        <v>0</v>
      </c>
      <c r="T23" s="19" t="b">
        <f t="shared" si="9"/>
        <v>0</v>
      </c>
      <c r="U23" s="359">
        <f t="shared" si="10"/>
        <v>0</v>
      </c>
      <c r="V23" s="144"/>
      <c r="W23" s="144"/>
      <c r="X23" s="359">
        <f t="shared" si="11"/>
        <v>0</v>
      </c>
      <c r="Y23" s="255">
        <f t="shared" si="12"/>
        <v>1500</v>
      </c>
      <c r="Z23" s="464"/>
      <c r="AA23" s="358">
        <f t="shared" si="13"/>
        <v>0</v>
      </c>
      <c r="AB23" s="207" t="b">
        <f t="shared" si="5"/>
        <v>0</v>
      </c>
    </row>
    <row r="24" spans="1:28" ht="13.5" customHeight="1">
      <c r="A24" s="2" t="str">
        <f t="shared" si="0"/>
        <v/>
      </c>
      <c r="B24" s="20"/>
      <c r="C24" s="31"/>
      <c r="D24" s="463"/>
      <c r="E24" s="20"/>
      <c r="F24" s="20"/>
      <c r="G24" s="21"/>
      <c r="H24" s="20"/>
      <c r="I24" s="30"/>
      <c r="J24" s="30"/>
      <c r="K24" s="22"/>
      <c r="L24" s="464"/>
      <c r="M24" s="142"/>
      <c r="N24" s="142"/>
      <c r="O24" s="299"/>
      <c r="P24" s="299"/>
      <c r="Q24" s="300">
        <f t="shared" si="6"/>
        <v>1</v>
      </c>
      <c r="R24" s="359">
        <f t="shared" si="7"/>
        <v>0</v>
      </c>
      <c r="S24" s="18" t="b">
        <f t="shared" si="8"/>
        <v>0</v>
      </c>
      <c r="T24" s="19" t="b">
        <f t="shared" si="9"/>
        <v>0</v>
      </c>
      <c r="U24" s="359">
        <f t="shared" si="10"/>
        <v>0</v>
      </c>
      <c r="V24" s="144"/>
      <c r="W24" s="144"/>
      <c r="X24" s="359">
        <f t="shared" si="11"/>
        <v>0</v>
      </c>
      <c r="Y24" s="255">
        <f t="shared" si="12"/>
        <v>1500</v>
      </c>
      <c r="Z24" s="464"/>
      <c r="AA24" s="358">
        <f t="shared" si="13"/>
        <v>0</v>
      </c>
      <c r="AB24" s="207" t="b">
        <f t="shared" si="5"/>
        <v>0</v>
      </c>
    </row>
    <row r="25" spans="1:28" ht="13.5" customHeight="1">
      <c r="A25" s="2" t="str">
        <f t="shared" si="0"/>
        <v/>
      </c>
      <c r="B25" s="20"/>
      <c r="C25" s="31"/>
      <c r="D25" s="463"/>
      <c r="E25" s="20"/>
      <c r="F25" s="20"/>
      <c r="G25" s="21"/>
      <c r="H25" s="20"/>
      <c r="I25" s="30"/>
      <c r="J25" s="30"/>
      <c r="K25" s="22"/>
      <c r="L25" s="464"/>
      <c r="M25" s="142"/>
      <c r="N25" s="142"/>
      <c r="O25" s="299"/>
      <c r="P25" s="299"/>
      <c r="Q25" s="300">
        <f t="shared" si="6"/>
        <v>1</v>
      </c>
      <c r="R25" s="359">
        <f t="shared" si="7"/>
        <v>0</v>
      </c>
      <c r="S25" s="18" t="b">
        <f t="shared" si="8"/>
        <v>0</v>
      </c>
      <c r="T25" s="19" t="b">
        <f t="shared" si="9"/>
        <v>0</v>
      </c>
      <c r="U25" s="359">
        <f t="shared" si="10"/>
        <v>0</v>
      </c>
      <c r="V25" s="144"/>
      <c r="W25" s="144"/>
      <c r="X25" s="359">
        <f t="shared" si="11"/>
        <v>0</v>
      </c>
      <c r="Y25" s="255">
        <f t="shared" si="12"/>
        <v>1500</v>
      </c>
      <c r="Z25" s="464"/>
      <c r="AA25" s="358">
        <f t="shared" si="13"/>
        <v>0</v>
      </c>
      <c r="AB25" s="207" t="b">
        <f t="shared" si="5"/>
        <v>0</v>
      </c>
    </row>
    <row r="26" spans="1:28" ht="13.5" customHeight="1">
      <c r="A26" s="2" t="str">
        <f t="shared" si="0"/>
        <v/>
      </c>
      <c r="B26" s="20"/>
      <c r="C26" s="31"/>
      <c r="D26" s="463"/>
      <c r="E26" s="20"/>
      <c r="F26" s="20"/>
      <c r="G26" s="21"/>
      <c r="H26" s="20"/>
      <c r="I26" s="30"/>
      <c r="J26" s="30"/>
      <c r="K26" s="22"/>
      <c r="L26" s="464"/>
      <c r="M26" s="142"/>
      <c r="N26" s="142"/>
      <c r="O26" s="299"/>
      <c r="P26" s="299"/>
      <c r="Q26" s="300">
        <f t="shared" si="6"/>
        <v>1</v>
      </c>
      <c r="R26" s="359">
        <f t="shared" si="7"/>
        <v>0</v>
      </c>
      <c r="S26" s="18" t="b">
        <f t="shared" si="8"/>
        <v>0</v>
      </c>
      <c r="T26" s="19" t="b">
        <f t="shared" si="9"/>
        <v>0</v>
      </c>
      <c r="U26" s="359">
        <f t="shared" si="10"/>
        <v>0</v>
      </c>
      <c r="V26" s="144"/>
      <c r="W26" s="144"/>
      <c r="X26" s="359">
        <f t="shared" si="11"/>
        <v>0</v>
      </c>
      <c r="Y26" s="255">
        <f t="shared" si="12"/>
        <v>1500</v>
      </c>
      <c r="Z26" s="464"/>
      <c r="AA26" s="358">
        <f t="shared" si="13"/>
        <v>0</v>
      </c>
      <c r="AB26" s="207" t="b">
        <f t="shared" si="5"/>
        <v>0</v>
      </c>
    </row>
    <row r="27" spans="1:28" ht="13.5" customHeight="1">
      <c r="A27" s="2" t="str">
        <f t="shared" si="0"/>
        <v/>
      </c>
      <c r="B27" s="20"/>
      <c r="C27" s="31"/>
      <c r="D27" s="463"/>
      <c r="E27" s="20"/>
      <c r="F27" s="20"/>
      <c r="G27" s="21"/>
      <c r="H27" s="20"/>
      <c r="I27" s="30"/>
      <c r="J27" s="30"/>
      <c r="K27" s="22"/>
      <c r="L27" s="464"/>
      <c r="M27" s="142"/>
      <c r="N27" s="142"/>
      <c r="O27" s="299"/>
      <c r="P27" s="299"/>
      <c r="Q27" s="300">
        <f t="shared" si="6"/>
        <v>1</v>
      </c>
      <c r="R27" s="359">
        <f t="shared" si="7"/>
        <v>0</v>
      </c>
      <c r="S27" s="18" t="b">
        <f t="shared" si="8"/>
        <v>0</v>
      </c>
      <c r="T27" s="19" t="b">
        <f t="shared" si="9"/>
        <v>0</v>
      </c>
      <c r="U27" s="359">
        <f t="shared" si="10"/>
        <v>0</v>
      </c>
      <c r="V27" s="144"/>
      <c r="W27" s="144"/>
      <c r="X27" s="359">
        <f t="shared" si="11"/>
        <v>0</v>
      </c>
      <c r="Y27" s="255">
        <f t="shared" si="12"/>
        <v>1500</v>
      </c>
      <c r="Z27" s="464"/>
      <c r="AA27" s="358">
        <f t="shared" si="13"/>
        <v>0</v>
      </c>
      <c r="AB27" s="207" t="b">
        <f t="shared" si="5"/>
        <v>0</v>
      </c>
    </row>
    <row r="28" spans="1:28" ht="13.5" customHeight="1">
      <c r="A28" s="2" t="str">
        <f t="shared" si="0"/>
        <v/>
      </c>
      <c r="B28" s="20"/>
      <c r="C28" s="31"/>
      <c r="D28" s="463"/>
      <c r="E28" s="20"/>
      <c r="F28" s="20"/>
      <c r="G28" s="21"/>
      <c r="H28" s="20"/>
      <c r="I28" s="30"/>
      <c r="J28" s="30"/>
      <c r="K28" s="22"/>
      <c r="L28" s="464"/>
      <c r="M28" s="142"/>
      <c r="N28" s="142"/>
      <c r="O28" s="299"/>
      <c r="P28" s="299"/>
      <c r="Q28" s="300">
        <f t="shared" si="6"/>
        <v>1</v>
      </c>
      <c r="R28" s="359">
        <f t="shared" si="7"/>
        <v>0</v>
      </c>
      <c r="S28" s="18" t="b">
        <f t="shared" si="8"/>
        <v>0</v>
      </c>
      <c r="T28" s="19" t="b">
        <f t="shared" si="9"/>
        <v>0</v>
      </c>
      <c r="U28" s="359">
        <f t="shared" si="10"/>
        <v>0</v>
      </c>
      <c r="V28" s="144"/>
      <c r="W28" s="144"/>
      <c r="X28" s="359">
        <f t="shared" si="11"/>
        <v>0</v>
      </c>
      <c r="Y28" s="255">
        <f t="shared" si="12"/>
        <v>1500</v>
      </c>
      <c r="Z28" s="464"/>
      <c r="AA28" s="358">
        <f t="shared" si="13"/>
        <v>0</v>
      </c>
      <c r="AB28" s="207" t="b">
        <f t="shared" si="5"/>
        <v>0</v>
      </c>
    </row>
    <row r="29" spans="1:28" ht="13.5" customHeight="1">
      <c r="A29" s="2" t="str">
        <f t="shared" si="0"/>
        <v/>
      </c>
      <c r="B29" s="20"/>
      <c r="C29" s="31"/>
      <c r="D29" s="463"/>
      <c r="E29" s="20"/>
      <c r="F29" s="20"/>
      <c r="G29" s="21"/>
      <c r="H29" s="20"/>
      <c r="I29" s="30"/>
      <c r="J29" s="30"/>
      <c r="K29" s="22"/>
      <c r="L29" s="464"/>
      <c r="M29" s="142"/>
      <c r="N29" s="142"/>
      <c r="O29" s="299"/>
      <c r="P29" s="299"/>
      <c r="Q29" s="300">
        <f t="shared" si="6"/>
        <v>1</v>
      </c>
      <c r="R29" s="359">
        <f t="shared" si="7"/>
        <v>0</v>
      </c>
      <c r="S29" s="18" t="b">
        <f t="shared" si="8"/>
        <v>0</v>
      </c>
      <c r="T29" s="19" t="b">
        <f t="shared" si="9"/>
        <v>0</v>
      </c>
      <c r="U29" s="359">
        <f t="shared" si="10"/>
        <v>0</v>
      </c>
      <c r="V29" s="144"/>
      <c r="W29" s="144"/>
      <c r="X29" s="359">
        <f t="shared" si="11"/>
        <v>0</v>
      </c>
      <c r="Y29" s="255">
        <f t="shared" si="12"/>
        <v>1500</v>
      </c>
      <c r="Z29" s="464"/>
      <c r="AA29" s="358">
        <f t="shared" si="13"/>
        <v>0</v>
      </c>
      <c r="AB29" s="207" t="b">
        <f t="shared" si="5"/>
        <v>0</v>
      </c>
    </row>
    <row r="30" spans="1:28" ht="13.5" customHeight="1">
      <c r="A30" s="2" t="str">
        <f t="shared" si="0"/>
        <v/>
      </c>
      <c r="B30" s="20"/>
      <c r="C30" s="31"/>
      <c r="D30" s="463"/>
      <c r="E30" s="20"/>
      <c r="F30" s="20"/>
      <c r="G30" s="21"/>
      <c r="H30" s="20"/>
      <c r="I30" s="30"/>
      <c r="J30" s="30"/>
      <c r="K30" s="22"/>
      <c r="L30" s="464"/>
      <c r="M30" s="142"/>
      <c r="N30" s="142"/>
      <c r="O30" s="299"/>
      <c r="P30" s="299"/>
      <c r="Q30" s="300">
        <f t="shared" si="6"/>
        <v>1</v>
      </c>
      <c r="R30" s="359">
        <f t="shared" si="7"/>
        <v>0</v>
      </c>
      <c r="S30" s="18" t="b">
        <f t="shared" si="8"/>
        <v>0</v>
      </c>
      <c r="T30" s="19" t="b">
        <f t="shared" si="9"/>
        <v>0</v>
      </c>
      <c r="U30" s="359">
        <f t="shared" si="10"/>
        <v>0</v>
      </c>
      <c r="V30" s="144"/>
      <c r="W30" s="144"/>
      <c r="X30" s="359">
        <f t="shared" si="11"/>
        <v>0</v>
      </c>
      <c r="Y30" s="255">
        <f t="shared" si="12"/>
        <v>1500</v>
      </c>
      <c r="Z30" s="464"/>
      <c r="AA30" s="358">
        <f t="shared" si="13"/>
        <v>0</v>
      </c>
      <c r="AB30" s="207" t="b">
        <f t="shared" si="5"/>
        <v>0</v>
      </c>
    </row>
    <row r="31" spans="1:28" ht="13.5" customHeight="1">
      <c r="A31" s="2" t="str">
        <f t="shared" si="0"/>
        <v/>
      </c>
      <c r="B31" s="20"/>
      <c r="C31" s="31"/>
      <c r="D31" s="463"/>
      <c r="E31" s="20"/>
      <c r="F31" s="20"/>
      <c r="G31" s="21"/>
      <c r="H31" s="20"/>
      <c r="I31" s="30"/>
      <c r="J31" s="30"/>
      <c r="K31" s="22"/>
      <c r="L31" s="464"/>
      <c r="M31" s="142"/>
      <c r="N31" s="142"/>
      <c r="O31" s="299"/>
      <c r="P31" s="299"/>
      <c r="Q31" s="300">
        <f t="shared" si="6"/>
        <v>1</v>
      </c>
      <c r="R31" s="359">
        <f t="shared" si="7"/>
        <v>0</v>
      </c>
      <c r="S31" s="18" t="b">
        <f t="shared" si="8"/>
        <v>0</v>
      </c>
      <c r="T31" s="19" t="b">
        <f t="shared" si="9"/>
        <v>0</v>
      </c>
      <c r="U31" s="359">
        <f t="shared" si="10"/>
        <v>0</v>
      </c>
      <c r="V31" s="144"/>
      <c r="W31" s="144"/>
      <c r="X31" s="359">
        <f t="shared" si="11"/>
        <v>0</v>
      </c>
      <c r="Y31" s="255">
        <f t="shared" si="12"/>
        <v>1500</v>
      </c>
      <c r="Z31" s="464"/>
      <c r="AA31" s="358">
        <f t="shared" si="13"/>
        <v>0</v>
      </c>
      <c r="AB31" s="207" t="b">
        <f t="shared" si="5"/>
        <v>0</v>
      </c>
    </row>
    <row r="32" spans="1:28" ht="13.5" customHeight="1">
      <c r="A32" s="2" t="str">
        <f t="shared" si="0"/>
        <v/>
      </c>
      <c r="B32" s="20"/>
      <c r="C32" s="31"/>
      <c r="D32" s="463"/>
      <c r="E32" s="20"/>
      <c r="F32" s="20"/>
      <c r="G32" s="21"/>
      <c r="H32" s="20"/>
      <c r="I32" s="30"/>
      <c r="J32" s="30"/>
      <c r="K32" s="22"/>
      <c r="L32" s="464"/>
      <c r="M32" s="142"/>
      <c r="N32" s="142"/>
      <c r="O32" s="299"/>
      <c r="P32" s="299"/>
      <c r="Q32" s="300">
        <f t="shared" si="6"/>
        <v>1</v>
      </c>
      <c r="R32" s="359">
        <f t="shared" si="7"/>
        <v>0</v>
      </c>
      <c r="S32" s="18" t="b">
        <f t="shared" si="8"/>
        <v>0</v>
      </c>
      <c r="T32" s="19" t="b">
        <f t="shared" si="9"/>
        <v>0</v>
      </c>
      <c r="U32" s="359">
        <f t="shared" si="10"/>
        <v>0</v>
      </c>
      <c r="V32" s="144"/>
      <c r="W32" s="144"/>
      <c r="X32" s="359">
        <f t="shared" si="11"/>
        <v>0</v>
      </c>
      <c r="Y32" s="255">
        <f t="shared" si="12"/>
        <v>1500</v>
      </c>
      <c r="Z32" s="464"/>
      <c r="AA32" s="358">
        <f t="shared" si="13"/>
        <v>0</v>
      </c>
      <c r="AB32" s="207" t="b">
        <f t="shared" si="5"/>
        <v>0</v>
      </c>
    </row>
    <row r="33" spans="1:28" ht="13.5" customHeight="1">
      <c r="A33" s="2" t="str">
        <f t="shared" si="0"/>
        <v/>
      </c>
      <c r="B33" s="20"/>
      <c r="C33" s="31"/>
      <c r="D33" s="463"/>
      <c r="E33" s="20"/>
      <c r="F33" s="20"/>
      <c r="G33" s="21"/>
      <c r="H33" s="20"/>
      <c r="I33" s="30"/>
      <c r="J33" s="30"/>
      <c r="K33" s="22"/>
      <c r="L33" s="464"/>
      <c r="M33" s="142"/>
      <c r="N33" s="142"/>
      <c r="O33" s="299"/>
      <c r="P33" s="299"/>
      <c r="Q33" s="300">
        <f t="shared" si="6"/>
        <v>1</v>
      </c>
      <c r="R33" s="359">
        <f t="shared" si="7"/>
        <v>0</v>
      </c>
      <c r="S33" s="18" t="b">
        <f t="shared" si="8"/>
        <v>0</v>
      </c>
      <c r="T33" s="19" t="b">
        <f t="shared" si="9"/>
        <v>0</v>
      </c>
      <c r="U33" s="359">
        <f t="shared" si="10"/>
        <v>0</v>
      </c>
      <c r="V33" s="144"/>
      <c r="W33" s="144"/>
      <c r="X33" s="359">
        <f t="shared" si="11"/>
        <v>0</v>
      </c>
      <c r="Y33" s="255">
        <f t="shared" si="12"/>
        <v>1500</v>
      </c>
      <c r="Z33" s="464"/>
      <c r="AA33" s="358">
        <f t="shared" si="13"/>
        <v>0</v>
      </c>
      <c r="AB33" s="207" t="b">
        <f t="shared" si="5"/>
        <v>0</v>
      </c>
    </row>
    <row r="34" spans="1:28" ht="13.5" customHeight="1">
      <c r="A34" s="2" t="str">
        <f t="shared" si="0"/>
        <v/>
      </c>
      <c r="B34" s="20"/>
      <c r="C34" s="31"/>
      <c r="D34" s="463"/>
      <c r="E34" s="20"/>
      <c r="F34" s="20"/>
      <c r="G34" s="21"/>
      <c r="H34" s="20"/>
      <c r="I34" s="30"/>
      <c r="J34" s="30"/>
      <c r="K34" s="22"/>
      <c r="L34" s="464"/>
      <c r="M34" s="142"/>
      <c r="N34" s="142"/>
      <c r="O34" s="299"/>
      <c r="P34" s="299"/>
      <c r="Q34" s="300">
        <f t="shared" si="6"/>
        <v>1</v>
      </c>
      <c r="R34" s="359">
        <f t="shared" si="7"/>
        <v>0</v>
      </c>
      <c r="S34" s="18" t="b">
        <f t="shared" si="8"/>
        <v>0</v>
      </c>
      <c r="T34" s="19" t="b">
        <f t="shared" si="9"/>
        <v>0</v>
      </c>
      <c r="U34" s="359">
        <f t="shared" si="10"/>
        <v>0</v>
      </c>
      <c r="V34" s="144"/>
      <c r="W34" s="144"/>
      <c r="X34" s="359">
        <f t="shared" si="11"/>
        <v>0</v>
      </c>
      <c r="Y34" s="255">
        <f t="shared" si="12"/>
        <v>1500</v>
      </c>
      <c r="Z34" s="464"/>
      <c r="AA34" s="358">
        <f t="shared" si="13"/>
        <v>0</v>
      </c>
      <c r="AB34" s="207" t="b">
        <f t="shared" si="5"/>
        <v>0</v>
      </c>
    </row>
    <row r="35" spans="1:28" ht="13.5" customHeight="1">
      <c r="A35" s="2" t="str">
        <f t="shared" si="0"/>
        <v/>
      </c>
      <c r="B35" s="20"/>
      <c r="C35" s="31"/>
      <c r="D35" s="463"/>
      <c r="E35" s="20"/>
      <c r="F35" s="20"/>
      <c r="G35" s="21"/>
      <c r="H35" s="20"/>
      <c r="I35" s="30"/>
      <c r="J35" s="30"/>
      <c r="K35" s="22"/>
      <c r="L35" s="464"/>
      <c r="M35" s="142"/>
      <c r="N35" s="142"/>
      <c r="O35" s="299"/>
      <c r="P35" s="299"/>
      <c r="Q35" s="300">
        <f t="shared" si="6"/>
        <v>1</v>
      </c>
      <c r="R35" s="359">
        <f t="shared" si="7"/>
        <v>0</v>
      </c>
      <c r="S35" s="18" t="b">
        <f t="shared" si="8"/>
        <v>0</v>
      </c>
      <c r="T35" s="19" t="b">
        <f t="shared" si="9"/>
        <v>0</v>
      </c>
      <c r="U35" s="359">
        <f t="shared" si="10"/>
        <v>0</v>
      </c>
      <c r="V35" s="144"/>
      <c r="W35" s="144"/>
      <c r="X35" s="359">
        <f t="shared" si="11"/>
        <v>0</v>
      </c>
      <c r="Y35" s="255">
        <f t="shared" si="12"/>
        <v>1500</v>
      </c>
      <c r="Z35" s="464"/>
      <c r="AA35" s="358">
        <f t="shared" si="13"/>
        <v>0</v>
      </c>
      <c r="AB35" s="207" t="b">
        <f t="shared" si="5"/>
        <v>0</v>
      </c>
    </row>
    <row r="36" spans="1:28" ht="13.5" customHeight="1">
      <c r="A36" s="2" t="str">
        <f t="shared" si="0"/>
        <v/>
      </c>
      <c r="B36" s="20"/>
      <c r="C36" s="31"/>
      <c r="D36" s="463"/>
      <c r="E36" s="20"/>
      <c r="F36" s="20"/>
      <c r="G36" s="21"/>
      <c r="H36" s="20"/>
      <c r="I36" s="30"/>
      <c r="J36" s="30"/>
      <c r="K36" s="22"/>
      <c r="L36" s="464"/>
      <c r="M36" s="142"/>
      <c r="N36" s="142"/>
      <c r="O36" s="299"/>
      <c r="P36" s="299"/>
      <c r="Q36" s="300">
        <f t="shared" si="6"/>
        <v>1</v>
      </c>
      <c r="R36" s="359">
        <f t="shared" si="7"/>
        <v>0</v>
      </c>
      <c r="S36" s="18" t="b">
        <f t="shared" si="8"/>
        <v>0</v>
      </c>
      <c r="T36" s="19" t="b">
        <f t="shared" si="9"/>
        <v>0</v>
      </c>
      <c r="U36" s="359">
        <f t="shared" si="10"/>
        <v>0</v>
      </c>
      <c r="V36" s="144"/>
      <c r="W36" s="144"/>
      <c r="X36" s="359">
        <f t="shared" si="11"/>
        <v>0</v>
      </c>
      <c r="Y36" s="255">
        <f t="shared" si="12"/>
        <v>1500</v>
      </c>
      <c r="Z36" s="464"/>
      <c r="AA36" s="358">
        <f t="shared" si="13"/>
        <v>0</v>
      </c>
      <c r="AB36" s="207" t="b">
        <f t="shared" ref="AB36:AB70" si="14">IF(ISBLANK(Z36),T36,Z36/K36-1)</f>
        <v>0</v>
      </c>
    </row>
    <row r="37" spans="1:28" ht="13.5" customHeight="1">
      <c r="A37" s="2" t="str">
        <f t="shared" si="0"/>
        <v/>
      </c>
      <c r="B37" s="20"/>
      <c r="C37" s="31"/>
      <c r="D37" s="463"/>
      <c r="E37" s="20"/>
      <c r="F37" s="20"/>
      <c r="G37" s="21"/>
      <c r="H37" s="20"/>
      <c r="I37" s="30"/>
      <c r="J37" s="30"/>
      <c r="K37" s="22"/>
      <c r="L37" s="464"/>
      <c r="M37" s="142"/>
      <c r="N37" s="142"/>
      <c r="O37" s="299"/>
      <c r="P37" s="299"/>
      <c r="Q37" s="300">
        <f t="shared" si="6"/>
        <v>1</v>
      </c>
      <c r="R37" s="359">
        <f t="shared" si="7"/>
        <v>0</v>
      </c>
      <c r="S37" s="18" t="b">
        <f t="shared" si="8"/>
        <v>0</v>
      </c>
      <c r="T37" s="19" t="b">
        <f t="shared" si="9"/>
        <v>0</v>
      </c>
      <c r="U37" s="359">
        <f t="shared" si="10"/>
        <v>0</v>
      </c>
      <c r="V37" s="144"/>
      <c r="W37" s="144"/>
      <c r="X37" s="359">
        <f t="shared" si="11"/>
        <v>0</v>
      </c>
      <c r="Y37" s="255">
        <f t="shared" si="12"/>
        <v>1500</v>
      </c>
      <c r="Z37" s="464"/>
      <c r="AA37" s="358">
        <f t="shared" si="13"/>
        <v>0</v>
      </c>
      <c r="AB37" s="207" t="b">
        <f t="shared" si="14"/>
        <v>0</v>
      </c>
    </row>
    <row r="38" spans="1:28" ht="13.5" customHeight="1">
      <c r="A38" s="2" t="str">
        <f t="shared" si="0"/>
        <v/>
      </c>
      <c r="B38" s="20"/>
      <c r="C38" s="31"/>
      <c r="D38" s="463"/>
      <c r="E38" s="20"/>
      <c r="F38" s="20"/>
      <c r="G38" s="21"/>
      <c r="H38" s="20"/>
      <c r="I38" s="30"/>
      <c r="J38" s="30"/>
      <c r="K38" s="22"/>
      <c r="L38" s="464"/>
      <c r="M38" s="142"/>
      <c r="N38" s="142"/>
      <c r="O38" s="299"/>
      <c r="P38" s="299"/>
      <c r="Q38" s="300">
        <f t="shared" si="6"/>
        <v>1</v>
      </c>
      <c r="R38" s="359">
        <f t="shared" si="7"/>
        <v>0</v>
      </c>
      <c r="S38" s="18" t="b">
        <f t="shared" si="8"/>
        <v>0</v>
      </c>
      <c r="T38" s="19" t="b">
        <f t="shared" si="9"/>
        <v>0</v>
      </c>
      <c r="U38" s="359">
        <f t="shared" si="10"/>
        <v>0</v>
      </c>
      <c r="V38" s="144"/>
      <c r="W38" s="144"/>
      <c r="X38" s="359">
        <f t="shared" si="11"/>
        <v>0</v>
      </c>
      <c r="Y38" s="255">
        <f t="shared" si="12"/>
        <v>1500</v>
      </c>
      <c r="Z38" s="464"/>
      <c r="AA38" s="358">
        <f t="shared" si="13"/>
        <v>0</v>
      </c>
      <c r="AB38" s="207" t="b">
        <f t="shared" si="14"/>
        <v>0</v>
      </c>
    </row>
    <row r="39" spans="1:28" ht="13.5" customHeight="1">
      <c r="A39" s="2" t="str">
        <f t="shared" si="0"/>
        <v/>
      </c>
      <c r="B39" s="20"/>
      <c r="C39" s="31"/>
      <c r="D39" s="463"/>
      <c r="E39" s="20"/>
      <c r="F39" s="20"/>
      <c r="G39" s="21"/>
      <c r="H39" s="20"/>
      <c r="I39" s="30"/>
      <c r="J39" s="30"/>
      <c r="K39" s="22"/>
      <c r="L39" s="464"/>
      <c r="M39" s="142"/>
      <c r="N39" s="142"/>
      <c r="O39" s="299"/>
      <c r="P39" s="299"/>
      <c r="Q39" s="300">
        <f t="shared" si="6"/>
        <v>1</v>
      </c>
      <c r="R39" s="359">
        <f t="shared" si="7"/>
        <v>0</v>
      </c>
      <c r="S39" s="18" t="b">
        <f t="shared" si="8"/>
        <v>0</v>
      </c>
      <c r="T39" s="19" t="b">
        <f t="shared" si="9"/>
        <v>0</v>
      </c>
      <c r="U39" s="359">
        <f t="shared" si="10"/>
        <v>0</v>
      </c>
      <c r="V39" s="144"/>
      <c r="W39" s="144"/>
      <c r="X39" s="359">
        <f t="shared" si="11"/>
        <v>0</v>
      </c>
      <c r="Y39" s="255">
        <f t="shared" si="12"/>
        <v>1500</v>
      </c>
      <c r="Z39" s="464"/>
      <c r="AA39" s="358">
        <f t="shared" si="13"/>
        <v>0</v>
      </c>
      <c r="AB39" s="207" t="b">
        <f t="shared" si="14"/>
        <v>0</v>
      </c>
    </row>
    <row r="40" spans="1:28" ht="13.5" customHeight="1">
      <c r="A40" s="2" t="str">
        <f t="shared" si="0"/>
        <v/>
      </c>
      <c r="B40" s="20"/>
      <c r="C40" s="31"/>
      <c r="D40" s="463"/>
      <c r="E40" s="20"/>
      <c r="F40" s="20"/>
      <c r="G40" s="21"/>
      <c r="H40" s="20"/>
      <c r="I40" s="30"/>
      <c r="J40" s="30"/>
      <c r="K40" s="22"/>
      <c r="L40" s="464"/>
      <c r="M40" s="142"/>
      <c r="N40" s="142"/>
      <c r="O40" s="299"/>
      <c r="P40" s="299"/>
      <c r="Q40" s="300">
        <f t="shared" si="6"/>
        <v>1</v>
      </c>
      <c r="R40" s="359">
        <f t="shared" si="7"/>
        <v>0</v>
      </c>
      <c r="S40" s="18" t="b">
        <f t="shared" si="8"/>
        <v>0</v>
      </c>
      <c r="T40" s="19" t="b">
        <f t="shared" si="9"/>
        <v>0</v>
      </c>
      <c r="U40" s="359">
        <f t="shared" si="10"/>
        <v>0</v>
      </c>
      <c r="V40" s="144"/>
      <c r="W40" s="144"/>
      <c r="X40" s="359">
        <f t="shared" si="11"/>
        <v>0</v>
      </c>
      <c r="Y40" s="255">
        <f t="shared" si="12"/>
        <v>1500</v>
      </c>
      <c r="Z40" s="464"/>
      <c r="AA40" s="358">
        <f t="shared" si="13"/>
        <v>0</v>
      </c>
      <c r="AB40" s="207" t="b">
        <f t="shared" si="14"/>
        <v>0</v>
      </c>
    </row>
    <row r="41" spans="1:28" ht="13.5" customHeight="1">
      <c r="A41" s="2" t="str">
        <f t="shared" si="0"/>
        <v/>
      </c>
      <c r="B41" s="20"/>
      <c r="C41" s="31"/>
      <c r="D41" s="463"/>
      <c r="E41" s="20"/>
      <c r="F41" s="20"/>
      <c r="G41" s="21"/>
      <c r="H41" s="20"/>
      <c r="I41" s="30"/>
      <c r="J41" s="30"/>
      <c r="K41" s="22"/>
      <c r="L41" s="464"/>
      <c r="M41" s="142"/>
      <c r="N41" s="142"/>
      <c r="O41" s="299"/>
      <c r="P41" s="299"/>
      <c r="Q41" s="300">
        <f t="shared" si="6"/>
        <v>1</v>
      </c>
      <c r="R41" s="359">
        <f t="shared" si="7"/>
        <v>0</v>
      </c>
      <c r="S41" s="18" t="b">
        <f t="shared" si="8"/>
        <v>0</v>
      </c>
      <c r="T41" s="19" t="b">
        <f t="shared" si="9"/>
        <v>0</v>
      </c>
      <c r="U41" s="359">
        <f t="shared" si="10"/>
        <v>0</v>
      </c>
      <c r="V41" s="144"/>
      <c r="W41" s="144"/>
      <c r="X41" s="359">
        <f t="shared" si="11"/>
        <v>0</v>
      </c>
      <c r="Y41" s="255">
        <f t="shared" si="12"/>
        <v>1500</v>
      </c>
      <c r="Z41" s="464"/>
      <c r="AA41" s="358">
        <f t="shared" si="13"/>
        <v>0</v>
      </c>
      <c r="AB41" s="207" t="b">
        <f t="shared" si="14"/>
        <v>0</v>
      </c>
    </row>
    <row r="42" spans="1:28" ht="13.5" customHeight="1">
      <c r="A42" s="2" t="str">
        <f t="shared" si="0"/>
        <v/>
      </c>
      <c r="B42" s="20"/>
      <c r="C42" s="31"/>
      <c r="D42" s="463"/>
      <c r="E42" s="20"/>
      <c r="F42" s="20"/>
      <c r="G42" s="21"/>
      <c r="H42" s="20"/>
      <c r="I42" s="30"/>
      <c r="J42" s="30"/>
      <c r="K42" s="22"/>
      <c r="L42" s="464"/>
      <c r="M42" s="142"/>
      <c r="N42" s="142"/>
      <c r="O42" s="299"/>
      <c r="P42" s="299"/>
      <c r="Q42" s="300">
        <f t="shared" si="6"/>
        <v>1</v>
      </c>
      <c r="R42" s="359">
        <f t="shared" si="7"/>
        <v>0</v>
      </c>
      <c r="S42" s="18" t="b">
        <f t="shared" si="8"/>
        <v>0</v>
      </c>
      <c r="T42" s="19" t="b">
        <f t="shared" si="9"/>
        <v>0</v>
      </c>
      <c r="U42" s="359">
        <f t="shared" si="10"/>
        <v>0</v>
      </c>
      <c r="V42" s="144"/>
      <c r="W42" s="144"/>
      <c r="X42" s="359">
        <f t="shared" si="11"/>
        <v>0</v>
      </c>
      <c r="Y42" s="255">
        <f t="shared" si="12"/>
        <v>1500</v>
      </c>
      <c r="Z42" s="464"/>
      <c r="AA42" s="358">
        <f t="shared" si="13"/>
        <v>0</v>
      </c>
      <c r="AB42" s="207" t="b">
        <f t="shared" si="14"/>
        <v>0</v>
      </c>
    </row>
    <row r="43" spans="1:28" ht="13.5" customHeight="1">
      <c r="A43" s="2" t="str">
        <f t="shared" si="0"/>
        <v/>
      </c>
      <c r="B43" s="20"/>
      <c r="C43" s="31"/>
      <c r="D43" s="463"/>
      <c r="E43" s="20"/>
      <c r="F43" s="20"/>
      <c r="G43" s="21"/>
      <c r="H43" s="20"/>
      <c r="I43" s="30"/>
      <c r="J43" s="30"/>
      <c r="K43" s="22"/>
      <c r="L43" s="464"/>
      <c r="M43" s="142"/>
      <c r="N43" s="142"/>
      <c r="O43" s="299"/>
      <c r="P43" s="299"/>
      <c r="Q43" s="300">
        <f t="shared" si="6"/>
        <v>1</v>
      </c>
      <c r="R43" s="359">
        <f t="shared" si="7"/>
        <v>0</v>
      </c>
      <c r="S43" s="18" t="b">
        <f t="shared" si="8"/>
        <v>0</v>
      </c>
      <c r="T43" s="19" t="b">
        <f t="shared" si="9"/>
        <v>0</v>
      </c>
      <c r="U43" s="359">
        <f t="shared" si="10"/>
        <v>0</v>
      </c>
      <c r="V43" s="144"/>
      <c r="W43" s="144"/>
      <c r="X43" s="359">
        <f t="shared" si="11"/>
        <v>0</v>
      </c>
      <c r="Y43" s="255">
        <f t="shared" si="12"/>
        <v>1500</v>
      </c>
      <c r="Z43" s="464"/>
      <c r="AA43" s="358">
        <f t="shared" si="13"/>
        <v>0</v>
      </c>
      <c r="AB43" s="207" t="b">
        <f t="shared" si="14"/>
        <v>0</v>
      </c>
    </row>
    <row r="44" spans="1:28" ht="13.5" customHeight="1">
      <c r="A44" s="2" t="str">
        <f t="shared" si="0"/>
        <v/>
      </c>
      <c r="B44" s="20"/>
      <c r="C44" s="31"/>
      <c r="D44" s="463"/>
      <c r="E44" s="20"/>
      <c r="F44" s="20"/>
      <c r="G44" s="21"/>
      <c r="H44" s="20"/>
      <c r="I44" s="30"/>
      <c r="J44" s="30"/>
      <c r="K44" s="22"/>
      <c r="L44" s="464"/>
      <c r="M44" s="142"/>
      <c r="N44" s="142"/>
      <c r="O44" s="299"/>
      <c r="P44" s="299"/>
      <c r="Q44" s="300">
        <f t="shared" si="6"/>
        <v>1</v>
      </c>
      <c r="R44" s="359">
        <f t="shared" si="7"/>
        <v>0</v>
      </c>
      <c r="S44" s="18" t="b">
        <f t="shared" si="8"/>
        <v>0</v>
      </c>
      <c r="T44" s="19" t="b">
        <f t="shared" si="9"/>
        <v>0</v>
      </c>
      <c r="U44" s="359">
        <f t="shared" si="10"/>
        <v>0</v>
      </c>
      <c r="V44" s="144"/>
      <c r="W44" s="144"/>
      <c r="X44" s="359">
        <f t="shared" si="11"/>
        <v>0</v>
      </c>
      <c r="Y44" s="255">
        <f t="shared" si="12"/>
        <v>1500</v>
      </c>
      <c r="Z44" s="464"/>
      <c r="AA44" s="358">
        <f t="shared" si="13"/>
        <v>0</v>
      </c>
      <c r="AB44" s="207" t="b">
        <f t="shared" si="14"/>
        <v>0</v>
      </c>
    </row>
    <row r="45" spans="1:28" ht="13.5" customHeight="1">
      <c r="A45" s="2" t="str">
        <f t="shared" si="0"/>
        <v/>
      </c>
      <c r="B45" s="20"/>
      <c r="C45" s="31"/>
      <c r="D45" s="463"/>
      <c r="E45" s="20"/>
      <c r="F45" s="20"/>
      <c r="G45" s="21"/>
      <c r="H45" s="20"/>
      <c r="I45" s="30"/>
      <c r="J45" s="30"/>
      <c r="K45" s="22"/>
      <c r="L45" s="464"/>
      <c r="M45" s="142"/>
      <c r="N45" s="142"/>
      <c r="O45" s="299"/>
      <c r="P45" s="299"/>
      <c r="Q45" s="300">
        <f t="shared" si="6"/>
        <v>1</v>
      </c>
      <c r="R45" s="359">
        <f t="shared" si="7"/>
        <v>0</v>
      </c>
      <c r="S45" s="18" t="b">
        <f t="shared" si="8"/>
        <v>0</v>
      </c>
      <c r="T45" s="19" t="b">
        <f t="shared" si="9"/>
        <v>0</v>
      </c>
      <c r="U45" s="359">
        <f t="shared" si="10"/>
        <v>0</v>
      </c>
      <c r="V45" s="144"/>
      <c r="W45" s="144"/>
      <c r="X45" s="359">
        <f t="shared" si="11"/>
        <v>0</v>
      </c>
      <c r="Y45" s="255">
        <f t="shared" si="12"/>
        <v>1500</v>
      </c>
      <c r="Z45" s="464"/>
      <c r="AA45" s="358">
        <f t="shared" si="13"/>
        <v>0</v>
      </c>
      <c r="AB45" s="207" t="b">
        <f t="shared" si="14"/>
        <v>0</v>
      </c>
    </row>
    <row r="46" spans="1:28" ht="13.5" customHeight="1">
      <c r="A46" s="2" t="str">
        <f t="shared" si="0"/>
        <v/>
      </c>
      <c r="B46" s="20"/>
      <c r="C46" s="31"/>
      <c r="D46" s="463"/>
      <c r="E46" s="20"/>
      <c r="F46" s="20"/>
      <c r="G46" s="21"/>
      <c r="H46" s="20"/>
      <c r="I46" s="30"/>
      <c r="J46" s="30"/>
      <c r="K46" s="22"/>
      <c r="L46" s="464"/>
      <c r="M46" s="142"/>
      <c r="N46" s="142"/>
      <c r="O46" s="299"/>
      <c r="P46" s="299"/>
      <c r="Q46" s="300">
        <f t="shared" si="6"/>
        <v>1</v>
      </c>
      <c r="R46" s="359">
        <f t="shared" si="7"/>
        <v>0</v>
      </c>
      <c r="S46" s="18" t="b">
        <f t="shared" si="8"/>
        <v>0</v>
      </c>
      <c r="T46" s="19" t="b">
        <f t="shared" si="9"/>
        <v>0</v>
      </c>
      <c r="U46" s="359">
        <f t="shared" si="10"/>
        <v>0</v>
      </c>
      <c r="V46" s="144"/>
      <c r="W46" s="144"/>
      <c r="X46" s="359">
        <f t="shared" si="11"/>
        <v>0</v>
      </c>
      <c r="Y46" s="255">
        <f t="shared" si="12"/>
        <v>1500</v>
      </c>
      <c r="Z46" s="464"/>
      <c r="AA46" s="358">
        <f t="shared" si="13"/>
        <v>0</v>
      </c>
      <c r="AB46" s="207" t="b">
        <f t="shared" si="14"/>
        <v>0</v>
      </c>
    </row>
    <row r="47" spans="1:28" ht="13.5" customHeight="1">
      <c r="A47" s="2" t="str">
        <f t="shared" si="0"/>
        <v/>
      </c>
      <c r="B47" s="20"/>
      <c r="C47" s="31"/>
      <c r="D47" s="463"/>
      <c r="E47" s="20"/>
      <c r="F47" s="20"/>
      <c r="G47" s="21"/>
      <c r="H47" s="20"/>
      <c r="I47" s="30"/>
      <c r="J47" s="30"/>
      <c r="K47" s="22"/>
      <c r="L47" s="464"/>
      <c r="M47" s="142"/>
      <c r="N47" s="142"/>
      <c r="O47" s="299"/>
      <c r="P47" s="299"/>
      <c r="Q47" s="300">
        <f t="shared" si="6"/>
        <v>1</v>
      </c>
      <c r="R47" s="359">
        <f t="shared" si="7"/>
        <v>0</v>
      </c>
      <c r="S47" s="18" t="b">
        <f t="shared" si="8"/>
        <v>0</v>
      </c>
      <c r="T47" s="19" t="b">
        <f t="shared" si="9"/>
        <v>0</v>
      </c>
      <c r="U47" s="359">
        <f t="shared" si="10"/>
        <v>0</v>
      </c>
      <c r="V47" s="144"/>
      <c r="W47" s="144"/>
      <c r="X47" s="359">
        <f t="shared" si="11"/>
        <v>0</v>
      </c>
      <c r="Y47" s="255">
        <f t="shared" si="12"/>
        <v>1500</v>
      </c>
      <c r="Z47" s="464"/>
      <c r="AA47" s="358">
        <f t="shared" si="13"/>
        <v>0</v>
      </c>
      <c r="AB47" s="207" t="b">
        <f t="shared" si="14"/>
        <v>0</v>
      </c>
    </row>
    <row r="48" spans="1:28" ht="13.5" customHeight="1">
      <c r="A48" s="2" t="str">
        <f t="shared" si="0"/>
        <v/>
      </c>
      <c r="B48" s="20"/>
      <c r="C48" s="31"/>
      <c r="D48" s="463"/>
      <c r="E48" s="20"/>
      <c r="F48" s="20"/>
      <c r="G48" s="21"/>
      <c r="H48" s="20"/>
      <c r="I48" s="30"/>
      <c r="J48" s="30"/>
      <c r="K48" s="22"/>
      <c r="L48" s="464"/>
      <c r="M48" s="142"/>
      <c r="N48" s="142"/>
      <c r="O48" s="299"/>
      <c r="P48" s="299"/>
      <c r="Q48" s="300">
        <f t="shared" si="6"/>
        <v>1</v>
      </c>
      <c r="R48" s="359">
        <f t="shared" si="7"/>
        <v>0</v>
      </c>
      <c r="S48" s="18" t="b">
        <f t="shared" si="8"/>
        <v>0</v>
      </c>
      <c r="T48" s="19" t="b">
        <f t="shared" si="9"/>
        <v>0</v>
      </c>
      <c r="U48" s="359">
        <f t="shared" si="10"/>
        <v>0</v>
      </c>
      <c r="V48" s="144"/>
      <c r="W48" s="144"/>
      <c r="X48" s="359">
        <f t="shared" si="11"/>
        <v>0</v>
      </c>
      <c r="Y48" s="255">
        <f t="shared" si="12"/>
        <v>1500</v>
      </c>
      <c r="Z48" s="464"/>
      <c r="AA48" s="358">
        <f t="shared" si="13"/>
        <v>0</v>
      </c>
      <c r="AB48" s="207" t="b">
        <f t="shared" si="14"/>
        <v>0</v>
      </c>
    </row>
    <row r="49" spans="1:28" ht="13.5" customHeight="1">
      <c r="A49" s="2" t="str">
        <f t="shared" si="0"/>
        <v/>
      </c>
      <c r="B49" s="20"/>
      <c r="C49" s="31"/>
      <c r="D49" s="463"/>
      <c r="E49" s="20"/>
      <c r="F49" s="20"/>
      <c r="G49" s="21"/>
      <c r="H49" s="20"/>
      <c r="I49" s="30"/>
      <c r="J49" s="30"/>
      <c r="K49" s="22"/>
      <c r="L49" s="464"/>
      <c r="M49" s="142"/>
      <c r="N49" s="142"/>
      <c r="O49" s="299"/>
      <c r="P49" s="299"/>
      <c r="Q49" s="300">
        <f t="shared" si="6"/>
        <v>1</v>
      </c>
      <c r="R49" s="359">
        <f t="shared" si="7"/>
        <v>0</v>
      </c>
      <c r="S49" s="18" t="b">
        <f t="shared" si="8"/>
        <v>0</v>
      </c>
      <c r="T49" s="19" t="b">
        <f t="shared" si="9"/>
        <v>0</v>
      </c>
      <c r="U49" s="359">
        <f t="shared" si="10"/>
        <v>0</v>
      </c>
      <c r="V49" s="144"/>
      <c r="W49" s="144"/>
      <c r="X49" s="359">
        <f t="shared" si="11"/>
        <v>0</v>
      </c>
      <c r="Y49" s="255">
        <f t="shared" si="12"/>
        <v>1500</v>
      </c>
      <c r="Z49" s="464"/>
      <c r="AA49" s="358">
        <f t="shared" si="13"/>
        <v>0</v>
      </c>
      <c r="AB49" s="207" t="b">
        <f t="shared" si="14"/>
        <v>0</v>
      </c>
    </row>
    <row r="50" spans="1:28" ht="13.5" customHeight="1">
      <c r="A50" s="2" t="str">
        <f t="shared" si="0"/>
        <v/>
      </c>
      <c r="B50" s="20"/>
      <c r="C50" s="31"/>
      <c r="D50" s="463"/>
      <c r="E50" s="20"/>
      <c r="F50" s="20"/>
      <c r="G50" s="21"/>
      <c r="H50" s="20"/>
      <c r="I50" s="30"/>
      <c r="J50" s="30"/>
      <c r="K50" s="22"/>
      <c r="L50" s="464"/>
      <c r="M50" s="142"/>
      <c r="N50" s="142"/>
      <c r="O50" s="299"/>
      <c r="P50" s="299"/>
      <c r="Q50" s="300">
        <f t="shared" si="6"/>
        <v>1</v>
      </c>
      <c r="R50" s="359">
        <f t="shared" si="7"/>
        <v>0</v>
      </c>
      <c r="S50" s="18" t="b">
        <f t="shared" si="8"/>
        <v>0</v>
      </c>
      <c r="T50" s="19" t="b">
        <f t="shared" si="9"/>
        <v>0</v>
      </c>
      <c r="U50" s="359">
        <f t="shared" si="10"/>
        <v>0</v>
      </c>
      <c r="V50" s="144"/>
      <c r="W50" s="144"/>
      <c r="X50" s="359">
        <f t="shared" si="11"/>
        <v>0</v>
      </c>
      <c r="Y50" s="255">
        <f t="shared" si="12"/>
        <v>1500</v>
      </c>
      <c r="Z50" s="464"/>
      <c r="AA50" s="358">
        <f t="shared" si="13"/>
        <v>0</v>
      </c>
      <c r="AB50" s="207" t="b">
        <f t="shared" si="14"/>
        <v>0</v>
      </c>
    </row>
    <row r="51" spans="1:28" ht="13.5" customHeight="1">
      <c r="A51" s="2" t="str">
        <f t="shared" si="0"/>
        <v/>
      </c>
      <c r="B51" s="20"/>
      <c r="C51" s="31"/>
      <c r="D51" s="463"/>
      <c r="E51" s="20"/>
      <c r="F51" s="20"/>
      <c r="G51" s="21"/>
      <c r="H51" s="20"/>
      <c r="I51" s="30"/>
      <c r="J51" s="30"/>
      <c r="K51" s="22"/>
      <c r="L51" s="464"/>
      <c r="M51" s="142"/>
      <c r="N51" s="142"/>
      <c r="O51" s="299"/>
      <c r="P51" s="299"/>
      <c r="Q51" s="300">
        <f t="shared" si="6"/>
        <v>1</v>
      </c>
      <c r="R51" s="359">
        <f t="shared" si="7"/>
        <v>0</v>
      </c>
      <c r="S51" s="18" t="b">
        <f t="shared" si="8"/>
        <v>0</v>
      </c>
      <c r="T51" s="19" t="b">
        <f t="shared" si="9"/>
        <v>0</v>
      </c>
      <c r="U51" s="359">
        <f t="shared" si="10"/>
        <v>0</v>
      </c>
      <c r="V51" s="144"/>
      <c r="W51" s="144"/>
      <c r="X51" s="359">
        <f t="shared" si="11"/>
        <v>0</v>
      </c>
      <c r="Y51" s="255">
        <f t="shared" si="12"/>
        <v>1500</v>
      </c>
      <c r="Z51" s="464"/>
      <c r="AA51" s="358">
        <f t="shared" si="13"/>
        <v>0</v>
      </c>
      <c r="AB51" s="207" t="b">
        <f t="shared" si="14"/>
        <v>0</v>
      </c>
    </row>
    <row r="52" spans="1:28" ht="13.5" customHeight="1">
      <c r="A52" s="2" t="str">
        <f t="shared" si="0"/>
        <v/>
      </c>
      <c r="B52" s="20"/>
      <c r="C52" s="31"/>
      <c r="D52" s="463"/>
      <c r="E52" s="20"/>
      <c r="F52" s="20"/>
      <c r="G52" s="21"/>
      <c r="H52" s="20"/>
      <c r="I52" s="30"/>
      <c r="J52" s="30"/>
      <c r="K52" s="22"/>
      <c r="L52" s="464"/>
      <c r="M52" s="142"/>
      <c r="N52" s="142"/>
      <c r="O52" s="299"/>
      <c r="P52" s="299"/>
      <c r="Q52" s="300">
        <f t="shared" si="6"/>
        <v>1</v>
      </c>
      <c r="R52" s="359">
        <f t="shared" si="7"/>
        <v>0</v>
      </c>
      <c r="S52" s="18" t="b">
        <f t="shared" si="8"/>
        <v>0</v>
      </c>
      <c r="T52" s="19" t="b">
        <f t="shared" si="9"/>
        <v>0</v>
      </c>
      <c r="U52" s="359">
        <f t="shared" si="10"/>
        <v>0</v>
      </c>
      <c r="V52" s="144"/>
      <c r="W52" s="144"/>
      <c r="X52" s="359">
        <f t="shared" si="11"/>
        <v>0</v>
      </c>
      <c r="Y52" s="255">
        <f t="shared" si="12"/>
        <v>1500</v>
      </c>
      <c r="Z52" s="464"/>
      <c r="AA52" s="358">
        <f t="shared" si="13"/>
        <v>0</v>
      </c>
      <c r="AB52" s="207" t="b">
        <f t="shared" si="14"/>
        <v>0</v>
      </c>
    </row>
    <row r="53" spans="1:28" ht="13.5" customHeight="1">
      <c r="A53" s="2" t="str">
        <f t="shared" si="0"/>
        <v/>
      </c>
      <c r="B53" s="20"/>
      <c r="C53" s="31"/>
      <c r="D53" s="463"/>
      <c r="E53" s="20"/>
      <c r="F53" s="20"/>
      <c r="G53" s="21"/>
      <c r="H53" s="20"/>
      <c r="I53" s="30"/>
      <c r="J53" s="30"/>
      <c r="K53" s="22"/>
      <c r="L53" s="464"/>
      <c r="M53" s="142"/>
      <c r="N53" s="142"/>
      <c r="O53" s="299"/>
      <c r="P53" s="299"/>
      <c r="Q53" s="300">
        <f t="shared" si="6"/>
        <v>1</v>
      </c>
      <c r="R53" s="359">
        <f t="shared" si="7"/>
        <v>0</v>
      </c>
      <c r="S53" s="18" t="b">
        <f t="shared" si="8"/>
        <v>0</v>
      </c>
      <c r="T53" s="19" t="b">
        <f t="shared" si="9"/>
        <v>0</v>
      </c>
      <c r="U53" s="359">
        <f t="shared" si="10"/>
        <v>0</v>
      </c>
      <c r="V53" s="144"/>
      <c r="W53" s="144"/>
      <c r="X53" s="359">
        <f t="shared" si="11"/>
        <v>0</v>
      </c>
      <c r="Y53" s="255">
        <f t="shared" si="12"/>
        <v>1500</v>
      </c>
      <c r="Z53" s="464"/>
      <c r="AA53" s="358">
        <f t="shared" si="13"/>
        <v>0</v>
      </c>
      <c r="AB53" s="207" t="b">
        <f t="shared" si="14"/>
        <v>0</v>
      </c>
    </row>
    <row r="54" spans="1:28" ht="13.5" customHeight="1">
      <c r="A54" s="2" t="str">
        <f t="shared" si="0"/>
        <v/>
      </c>
      <c r="B54" s="20"/>
      <c r="C54" s="31"/>
      <c r="D54" s="463"/>
      <c r="E54" s="20"/>
      <c r="F54" s="20"/>
      <c r="G54" s="21"/>
      <c r="H54" s="20"/>
      <c r="I54" s="30"/>
      <c r="J54" s="30"/>
      <c r="K54" s="22"/>
      <c r="L54" s="464"/>
      <c r="M54" s="142"/>
      <c r="N54" s="142"/>
      <c r="O54" s="299"/>
      <c r="P54" s="299"/>
      <c r="Q54" s="300">
        <f t="shared" si="6"/>
        <v>1</v>
      </c>
      <c r="R54" s="359">
        <f t="shared" si="7"/>
        <v>0</v>
      </c>
      <c r="S54" s="18" t="b">
        <f t="shared" si="8"/>
        <v>0</v>
      </c>
      <c r="T54" s="19" t="b">
        <f t="shared" si="9"/>
        <v>0</v>
      </c>
      <c r="U54" s="359">
        <f t="shared" si="10"/>
        <v>0</v>
      </c>
      <c r="V54" s="144"/>
      <c r="W54" s="144"/>
      <c r="X54" s="359">
        <f t="shared" si="11"/>
        <v>0</v>
      </c>
      <c r="Y54" s="255">
        <f t="shared" si="12"/>
        <v>1500</v>
      </c>
      <c r="Z54" s="464"/>
      <c r="AA54" s="358">
        <f t="shared" si="13"/>
        <v>0</v>
      </c>
      <c r="AB54" s="207" t="b">
        <f t="shared" si="14"/>
        <v>0</v>
      </c>
    </row>
    <row r="55" spans="1:28" ht="13.5" customHeight="1">
      <c r="A55" s="2" t="str">
        <f t="shared" si="0"/>
        <v/>
      </c>
      <c r="B55" s="20"/>
      <c r="C55" s="31"/>
      <c r="D55" s="463"/>
      <c r="E55" s="20"/>
      <c r="F55" s="20"/>
      <c r="G55" s="21"/>
      <c r="H55" s="20"/>
      <c r="I55" s="30"/>
      <c r="J55" s="30"/>
      <c r="K55" s="22"/>
      <c r="L55" s="464"/>
      <c r="M55" s="142"/>
      <c r="N55" s="142"/>
      <c r="O55" s="299"/>
      <c r="P55" s="299"/>
      <c r="Q55" s="300">
        <f t="shared" si="6"/>
        <v>1</v>
      </c>
      <c r="R55" s="359">
        <f t="shared" si="7"/>
        <v>0</v>
      </c>
      <c r="S55" s="18" t="b">
        <f t="shared" si="8"/>
        <v>0</v>
      </c>
      <c r="T55" s="19" t="b">
        <f t="shared" si="9"/>
        <v>0</v>
      </c>
      <c r="U55" s="359">
        <f t="shared" si="10"/>
        <v>0</v>
      </c>
      <c r="V55" s="144"/>
      <c r="W55" s="144"/>
      <c r="X55" s="359">
        <f t="shared" si="11"/>
        <v>0</v>
      </c>
      <c r="Y55" s="255">
        <f t="shared" si="12"/>
        <v>1500</v>
      </c>
      <c r="Z55" s="464"/>
      <c r="AA55" s="358">
        <f t="shared" si="13"/>
        <v>0</v>
      </c>
      <c r="AB55" s="207" t="b">
        <f t="shared" si="14"/>
        <v>0</v>
      </c>
    </row>
    <row r="56" spans="1:28" ht="13.5" customHeight="1">
      <c r="A56" s="2" t="str">
        <f t="shared" si="0"/>
        <v/>
      </c>
      <c r="B56" s="20"/>
      <c r="C56" s="31"/>
      <c r="D56" s="463"/>
      <c r="E56" s="20"/>
      <c r="F56" s="20"/>
      <c r="G56" s="21"/>
      <c r="H56" s="20"/>
      <c r="I56" s="30"/>
      <c r="J56" s="30"/>
      <c r="K56" s="22"/>
      <c r="L56" s="464"/>
      <c r="M56" s="142"/>
      <c r="N56" s="142"/>
      <c r="O56" s="299"/>
      <c r="P56" s="299"/>
      <c r="Q56" s="300">
        <f t="shared" si="6"/>
        <v>1</v>
      </c>
      <c r="R56" s="359">
        <f t="shared" si="7"/>
        <v>0</v>
      </c>
      <c r="S56" s="18" t="b">
        <f t="shared" si="8"/>
        <v>0</v>
      </c>
      <c r="T56" s="19" t="b">
        <f t="shared" si="9"/>
        <v>0</v>
      </c>
      <c r="U56" s="359">
        <f t="shared" si="10"/>
        <v>0</v>
      </c>
      <c r="V56" s="144"/>
      <c r="W56" s="144"/>
      <c r="X56" s="359">
        <f t="shared" si="11"/>
        <v>0</v>
      </c>
      <c r="Y56" s="255">
        <f t="shared" si="12"/>
        <v>1500</v>
      </c>
      <c r="Z56" s="464"/>
      <c r="AA56" s="358">
        <f t="shared" si="13"/>
        <v>0</v>
      </c>
      <c r="AB56" s="207" t="b">
        <f t="shared" si="14"/>
        <v>0</v>
      </c>
    </row>
    <row r="57" spans="1:28" ht="13.5" customHeight="1">
      <c r="A57" s="2" t="str">
        <f t="shared" si="0"/>
        <v/>
      </c>
      <c r="B57" s="20"/>
      <c r="C57" s="31"/>
      <c r="D57" s="463"/>
      <c r="E57" s="20"/>
      <c r="F57" s="20"/>
      <c r="G57" s="21"/>
      <c r="H57" s="20"/>
      <c r="I57" s="30"/>
      <c r="J57" s="30"/>
      <c r="K57" s="22"/>
      <c r="L57" s="464"/>
      <c r="M57" s="142"/>
      <c r="N57" s="142"/>
      <c r="O57" s="299"/>
      <c r="P57" s="299"/>
      <c r="Q57" s="300">
        <f t="shared" si="6"/>
        <v>1</v>
      </c>
      <c r="R57" s="359">
        <f t="shared" si="7"/>
        <v>0</v>
      </c>
      <c r="S57" s="18" t="b">
        <f t="shared" si="8"/>
        <v>0</v>
      </c>
      <c r="T57" s="19" t="b">
        <f t="shared" si="9"/>
        <v>0</v>
      </c>
      <c r="U57" s="359">
        <f t="shared" si="10"/>
        <v>0</v>
      </c>
      <c r="V57" s="144"/>
      <c r="W57" s="144"/>
      <c r="X57" s="359">
        <f t="shared" si="11"/>
        <v>0</v>
      </c>
      <c r="Y57" s="255">
        <f t="shared" si="12"/>
        <v>1500</v>
      </c>
      <c r="Z57" s="464"/>
      <c r="AA57" s="358">
        <f t="shared" si="13"/>
        <v>0</v>
      </c>
      <c r="AB57" s="207" t="b">
        <f t="shared" si="14"/>
        <v>0</v>
      </c>
    </row>
    <row r="58" spans="1:28" ht="13.5" customHeight="1">
      <c r="A58" s="2" t="str">
        <f t="shared" si="0"/>
        <v/>
      </c>
      <c r="B58" s="20"/>
      <c r="C58" s="31"/>
      <c r="D58" s="463"/>
      <c r="E58" s="20"/>
      <c r="F58" s="20"/>
      <c r="G58" s="21"/>
      <c r="H58" s="20"/>
      <c r="I58" s="30"/>
      <c r="J58" s="30"/>
      <c r="K58" s="22"/>
      <c r="L58" s="464"/>
      <c r="M58" s="142"/>
      <c r="N58" s="142"/>
      <c r="O58" s="299"/>
      <c r="P58" s="299"/>
      <c r="Q58" s="300">
        <f t="shared" si="6"/>
        <v>1</v>
      </c>
      <c r="R58" s="359">
        <f t="shared" si="7"/>
        <v>0</v>
      </c>
      <c r="S58" s="18" t="b">
        <f t="shared" si="8"/>
        <v>0</v>
      </c>
      <c r="T58" s="19" t="b">
        <f t="shared" si="9"/>
        <v>0</v>
      </c>
      <c r="U58" s="359">
        <f t="shared" si="10"/>
        <v>0</v>
      </c>
      <c r="V58" s="144"/>
      <c r="W58" s="144"/>
      <c r="X58" s="359">
        <f t="shared" si="11"/>
        <v>0</v>
      </c>
      <c r="Y58" s="255">
        <f t="shared" si="12"/>
        <v>1500</v>
      </c>
      <c r="Z58" s="464"/>
      <c r="AA58" s="358">
        <f t="shared" si="13"/>
        <v>0</v>
      </c>
      <c r="AB58" s="207" t="b">
        <f t="shared" si="14"/>
        <v>0</v>
      </c>
    </row>
    <row r="59" spans="1:28" ht="13.5" customHeight="1">
      <c r="A59" s="2" t="str">
        <f t="shared" si="0"/>
        <v/>
      </c>
      <c r="B59" s="20"/>
      <c r="C59" s="31"/>
      <c r="D59" s="463"/>
      <c r="E59" s="20"/>
      <c r="F59" s="20"/>
      <c r="G59" s="21"/>
      <c r="H59" s="20"/>
      <c r="I59" s="30"/>
      <c r="J59" s="30"/>
      <c r="K59" s="22"/>
      <c r="L59" s="464"/>
      <c r="M59" s="142"/>
      <c r="N59" s="142"/>
      <c r="O59" s="299"/>
      <c r="P59" s="299"/>
      <c r="Q59" s="300">
        <f t="shared" si="6"/>
        <v>1</v>
      </c>
      <c r="R59" s="359">
        <f t="shared" si="7"/>
        <v>0</v>
      </c>
      <c r="S59" s="18" t="b">
        <f t="shared" si="8"/>
        <v>0</v>
      </c>
      <c r="T59" s="19" t="b">
        <f t="shared" si="9"/>
        <v>0</v>
      </c>
      <c r="U59" s="359">
        <f t="shared" si="10"/>
        <v>0</v>
      </c>
      <c r="V59" s="144"/>
      <c r="W59" s="144"/>
      <c r="X59" s="359">
        <f t="shared" si="11"/>
        <v>0</v>
      </c>
      <c r="Y59" s="255">
        <f t="shared" si="12"/>
        <v>1500</v>
      </c>
      <c r="Z59" s="464"/>
      <c r="AA59" s="358">
        <f t="shared" si="13"/>
        <v>0</v>
      </c>
      <c r="AB59" s="207" t="b">
        <f t="shared" si="14"/>
        <v>0</v>
      </c>
    </row>
    <row r="60" spans="1:28" ht="13.5" customHeight="1">
      <c r="A60" s="2" t="str">
        <f t="shared" si="0"/>
        <v/>
      </c>
      <c r="B60" s="20"/>
      <c r="C60" s="31"/>
      <c r="D60" s="463"/>
      <c r="E60" s="20"/>
      <c r="F60" s="20"/>
      <c r="G60" s="21"/>
      <c r="H60" s="20"/>
      <c r="I60" s="30"/>
      <c r="J60" s="30"/>
      <c r="K60" s="22"/>
      <c r="L60" s="464"/>
      <c r="M60" s="142"/>
      <c r="N60" s="142"/>
      <c r="O60" s="299"/>
      <c r="P60" s="299"/>
      <c r="Q60" s="300">
        <f t="shared" si="6"/>
        <v>1</v>
      </c>
      <c r="R60" s="359">
        <f t="shared" si="7"/>
        <v>0</v>
      </c>
      <c r="S60" s="18" t="b">
        <f t="shared" si="8"/>
        <v>0</v>
      </c>
      <c r="T60" s="19" t="b">
        <f t="shared" si="9"/>
        <v>0</v>
      </c>
      <c r="U60" s="359">
        <f t="shared" si="10"/>
        <v>0</v>
      </c>
      <c r="V60" s="144"/>
      <c r="W60" s="144"/>
      <c r="X60" s="359">
        <f t="shared" si="11"/>
        <v>0</v>
      </c>
      <c r="Y60" s="255">
        <f t="shared" si="12"/>
        <v>1500</v>
      </c>
      <c r="Z60" s="464"/>
      <c r="AA60" s="358">
        <f t="shared" si="13"/>
        <v>0</v>
      </c>
      <c r="AB60" s="207" t="b">
        <f t="shared" si="14"/>
        <v>0</v>
      </c>
    </row>
    <row r="61" spans="1:28" ht="13.5" customHeight="1">
      <c r="A61" s="2" t="str">
        <f t="shared" si="0"/>
        <v/>
      </c>
      <c r="B61" s="20"/>
      <c r="C61" s="31"/>
      <c r="D61" s="463"/>
      <c r="E61" s="20"/>
      <c r="F61" s="20"/>
      <c r="G61" s="21"/>
      <c r="H61" s="20"/>
      <c r="I61" s="30"/>
      <c r="J61" s="30"/>
      <c r="K61" s="22"/>
      <c r="L61" s="464"/>
      <c r="M61" s="142"/>
      <c r="N61" s="142"/>
      <c r="O61" s="299"/>
      <c r="P61" s="299"/>
      <c r="Q61" s="300">
        <f t="shared" si="6"/>
        <v>1</v>
      </c>
      <c r="R61" s="359">
        <f t="shared" si="7"/>
        <v>0</v>
      </c>
      <c r="S61" s="18" t="b">
        <f t="shared" si="8"/>
        <v>0</v>
      </c>
      <c r="T61" s="19" t="b">
        <f t="shared" si="9"/>
        <v>0</v>
      </c>
      <c r="U61" s="359">
        <f t="shared" si="10"/>
        <v>0</v>
      </c>
      <c r="V61" s="144"/>
      <c r="W61" s="144"/>
      <c r="X61" s="359">
        <f t="shared" si="11"/>
        <v>0</v>
      </c>
      <c r="Y61" s="255">
        <f t="shared" si="12"/>
        <v>1500</v>
      </c>
      <c r="Z61" s="464"/>
      <c r="AA61" s="358">
        <f t="shared" si="13"/>
        <v>0</v>
      </c>
      <c r="AB61" s="207" t="b">
        <f t="shared" si="14"/>
        <v>0</v>
      </c>
    </row>
    <row r="62" spans="1:28" ht="13.5" customHeight="1">
      <c r="A62" s="2" t="str">
        <f t="shared" si="0"/>
        <v/>
      </c>
      <c r="B62" s="20"/>
      <c r="C62" s="31"/>
      <c r="D62" s="463"/>
      <c r="E62" s="20"/>
      <c r="F62" s="20"/>
      <c r="G62" s="21"/>
      <c r="H62" s="20"/>
      <c r="I62" s="30"/>
      <c r="J62" s="30"/>
      <c r="K62" s="22"/>
      <c r="L62" s="464"/>
      <c r="M62" s="142"/>
      <c r="N62" s="142"/>
      <c r="O62" s="299"/>
      <c r="P62" s="299"/>
      <c r="Q62" s="300">
        <f t="shared" si="6"/>
        <v>1</v>
      </c>
      <c r="R62" s="359">
        <f t="shared" si="7"/>
        <v>0</v>
      </c>
      <c r="S62" s="18" t="b">
        <f t="shared" si="8"/>
        <v>0</v>
      </c>
      <c r="T62" s="19" t="b">
        <f t="shared" si="9"/>
        <v>0</v>
      </c>
      <c r="U62" s="359">
        <f t="shared" si="10"/>
        <v>0</v>
      </c>
      <c r="V62" s="144"/>
      <c r="W62" s="144"/>
      <c r="X62" s="359">
        <f t="shared" si="11"/>
        <v>0</v>
      </c>
      <c r="Y62" s="255">
        <f t="shared" si="12"/>
        <v>1500</v>
      </c>
      <c r="Z62" s="464"/>
      <c r="AA62" s="358">
        <f t="shared" si="13"/>
        <v>0</v>
      </c>
      <c r="AB62" s="207" t="b">
        <f t="shared" si="14"/>
        <v>0</v>
      </c>
    </row>
    <row r="63" spans="1:28" ht="13.5" customHeight="1">
      <c r="A63" s="2" t="str">
        <f t="shared" si="0"/>
        <v/>
      </c>
      <c r="B63" s="20"/>
      <c r="C63" s="31"/>
      <c r="D63" s="463"/>
      <c r="E63" s="20"/>
      <c r="F63" s="20"/>
      <c r="G63" s="21"/>
      <c r="H63" s="20"/>
      <c r="I63" s="30"/>
      <c r="J63" s="30"/>
      <c r="K63" s="22"/>
      <c r="L63" s="464"/>
      <c r="M63" s="142"/>
      <c r="N63" s="142"/>
      <c r="O63" s="299"/>
      <c r="P63" s="299"/>
      <c r="Q63" s="300">
        <f t="shared" si="6"/>
        <v>1</v>
      </c>
      <c r="R63" s="359">
        <f t="shared" si="7"/>
        <v>0</v>
      </c>
      <c r="S63" s="18" t="b">
        <f t="shared" si="8"/>
        <v>0</v>
      </c>
      <c r="T63" s="19" t="b">
        <f t="shared" si="9"/>
        <v>0</v>
      </c>
      <c r="U63" s="359">
        <f t="shared" si="10"/>
        <v>0</v>
      </c>
      <c r="V63" s="144"/>
      <c r="W63" s="144"/>
      <c r="X63" s="359">
        <f t="shared" si="11"/>
        <v>0</v>
      </c>
      <c r="Y63" s="255">
        <f t="shared" si="12"/>
        <v>1500</v>
      </c>
      <c r="Z63" s="464"/>
      <c r="AA63" s="358">
        <f t="shared" si="13"/>
        <v>0</v>
      </c>
      <c r="AB63" s="207" t="b">
        <f t="shared" si="14"/>
        <v>0</v>
      </c>
    </row>
    <row r="64" spans="1:28" ht="13.5" customHeight="1">
      <c r="A64" s="2" t="str">
        <f t="shared" si="0"/>
        <v/>
      </c>
      <c r="B64" s="20"/>
      <c r="C64" s="31"/>
      <c r="D64" s="463"/>
      <c r="E64" s="20"/>
      <c r="F64" s="20"/>
      <c r="G64" s="21"/>
      <c r="H64" s="20"/>
      <c r="I64" s="30"/>
      <c r="J64" s="30"/>
      <c r="K64" s="22"/>
      <c r="L64" s="464"/>
      <c r="M64" s="142"/>
      <c r="N64" s="142"/>
      <c r="O64" s="299"/>
      <c r="P64" s="299"/>
      <c r="Q64" s="300">
        <f t="shared" si="6"/>
        <v>1</v>
      </c>
      <c r="R64" s="359">
        <f t="shared" si="7"/>
        <v>0</v>
      </c>
      <c r="S64" s="18" t="b">
        <f t="shared" si="8"/>
        <v>0</v>
      </c>
      <c r="T64" s="19" t="b">
        <f t="shared" si="9"/>
        <v>0</v>
      </c>
      <c r="U64" s="359">
        <f t="shared" si="10"/>
        <v>0</v>
      </c>
      <c r="V64" s="144"/>
      <c r="W64" s="144"/>
      <c r="X64" s="359">
        <f t="shared" si="11"/>
        <v>0</v>
      </c>
      <c r="Y64" s="255">
        <f t="shared" si="12"/>
        <v>1500</v>
      </c>
      <c r="Z64" s="464"/>
      <c r="AA64" s="358">
        <f t="shared" si="13"/>
        <v>0</v>
      </c>
      <c r="AB64" s="207" t="b">
        <f t="shared" si="14"/>
        <v>0</v>
      </c>
    </row>
    <row r="65" spans="1:28" ht="13.5" customHeight="1">
      <c r="A65" s="2" t="str">
        <f t="shared" si="0"/>
        <v/>
      </c>
      <c r="B65" s="20"/>
      <c r="C65" s="31"/>
      <c r="D65" s="463"/>
      <c r="E65" s="20"/>
      <c r="F65" s="20"/>
      <c r="G65" s="21"/>
      <c r="H65" s="20"/>
      <c r="I65" s="30"/>
      <c r="J65" s="30"/>
      <c r="K65" s="22"/>
      <c r="L65" s="464"/>
      <c r="M65" s="142"/>
      <c r="N65" s="142"/>
      <c r="O65" s="299"/>
      <c r="P65" s="299"/>
      <c r="Q65" s="300">
        <f t="shared" si="6"/>
        <v>1</v>
      </c>
      <c r="R65" s="359">
        <f t="shared" si="7"/>
        <v>0</v>
      </c>
      <c r="S65" s="18" t="b">
        <f t="shared" si="8"/>
        <v>0</v>
      </c>
      <c r="T65" s="19" t="b">
        <f t="shared" si="9"/>
        <v>0</v>
      </c>
      <c r="U65" s="359">
        <f t="shared" si="10"/>
        <v>0</v>
      </c>
      <c r="V65" s="144"/>
      <c r="W65" s="144"/>
      <c r="X65" s="359">
        <f t="shared" si="11"/>
        <v>0</v>
      </c>
      <c r="Y65" s="255">
        <f t="shared" si="12"/>
        <v>1500</v>
      </c>
      <c r="Z65" s="464"/>
      <c r="AA65" s="358">
        <f t="shared" si="13"/>
        <v>0</v>
      </c>
      <c r="AB65" s="207" t="b">
        <f t="shared" si="14"/>
        <v>0</v>
      </c>
    </row>
    <row r="66" spans="1:28" ht="13.5" customHeight="1">
      <c r="A66" s="2" t="str">
        <f t="shared" si="0"/>
        <v/>
      </c>
      <c r="B66" s="20"/>
      <c r="C66" s="31"/>
      <c r="D66" s="463"/>
      <c r="E66" s="20"/>
      <c r="F66" s="20"/>
      <c r="G66" s="21"/>
      <c r="H66" s="20"/>
      <c r="I66" s="30"/>
      <c r="J66" s="30"/>
      <c r="K66" s="22"/>
      <c r="L66" s="464"/>
      <c r="M66" s="142"/>
      <c r="N66" s="142"/>
      <c r="O66" s="299"/>
      <c r="P66" s="299"/>
      <c r="Q66" s="300">
        <f t="shared" si="6"/>
        <v>1</v>
      </c>
      <c r="R66" s="359">
        <f t="shared" si="7"/>
        <v>0</v>
      </c>
      <c r="S66" s="18" t="b">
        <f t="shared" si="8"/>
        <v>0</v>
      </c>
      <c r="T66" s="19" t="b">
        <f t="shared" si="9"/>
        <v>0</v>
      </c>
      <c r="U66" s="359">
        <f t="shared" si="10"/>
        <v>0</v>
      </c>
      <c r="V66" s="144"/>
      <c r="W66" s="144"/>
      <c r="X66" s="359">
        <f t="shared" si="11"/>
        <v>0</v>
      </c>
      <c r="Y66" s="255">
        <f t="shared" si="12"/>
        <v>1500</v>
      </c>
      <c r="Z66" s="464"/>
      <c r="AA66" s="358">
        <f t="shared" si="13"/>
        <v>0</v>
      </c>
      <c r="AB66" s="207" t="b">
        <f t="shared" si="14"/>
        <v>0</v>
      </c>
    </row>
    <row r="67" spans="1:28" ht="13.5" customHeight="1">
      <c r="A67" s="2" t="str">
        <f t="shared" si="0"/>
        <v/>
      </c>
      <c r="B67" s="20"/>
      <c r="C67" s="31"/>
      <c r="D67" s="463"/>
      <c r="E67" s="20"/>
      <c r="F67" s="20"/>
      <c r="G67" s="21"/>
      <c r="H67" s="20"/>
      <c r="I67" s="30"/>
      <c r="J67" s="30"/>
      <c r="K67" s="22"/>
      <c r="L67" s="464"/>
      <c r="M67" s="142"/>
      <c r="N67" s="142"/>
      <c r="O67" s="299"/>
      <c r="P67" s="299"/>
      <c r="Q67" s="300">
        <f t="shared" si="6"/>
        <v>1</v>
      </c>
      <c r="R67" s="359">
        <f t="shared" si="7"/>
        <v>0</v>
      </c>
      <c r="S67" s="18" t="b">
        <f t="shared" si="8"/>
        <v>0</v>
      </c>
      <c r="T67" s="19" t="b">
        <f t="shared" si="9"/>
        <v>0</v>
      </c>
      <c r="U67" s="359">
        <f t="shared" si="10"/>
        <v>0</v>
      </c>
      <c r="V67" s="144"/>
      <c r="W67" s="144"/>
      <c r="X67" s="359">
        <f t="shared" si="11"/>
        <v>0</v>
      </c>
      <c r="Y67" s="255">
        <f t="shared" si="12"/>
        <v>1500</v>
      </c>
      <c r="Z67" s="464"/>
      <c r="AA67" s="358">
        <f t="shared" si="13"/>
        <v>0</v>
      </c>
      <c r="AB67" s="207" t="b">
        <f t="shared" si="14"/>
        <v>0</v>
      </c>
    </row>
    <row r="68" spans="1:28" ht="13.5" customHeight="1">
      <c r="A68" s="2" t="str">
        <f t="shared" ref="A68:A70" si="15">$D$2</f>
        <v/>
      </c>
      <c r="B68" s="20"/>
      <c r="C68" s="31"/>
      <c r="D68" s="463"/>
      <c r="E68" s="20"/>
      <c r="F68" s="20"/>
      <c r="G68" s="21"/>
      <c r="H68" s="20"/>
      <c r="I68" s="30"/>
      <c r="J68" s="30"/>
      <c r="K68" s="22"/>
      <c r="L68" s="464"/>
      <c r="M68" s="142"/>
      <c r="N68" s="142"/>
      <c r="O68" s="299"/>
      <c r="P68" s="299"/>
      <c r="Q68" s="300">
        <f t="shared" si="6"/>
        <v>1</v>
      </c>
      <c r="R68" s="359">
        <f t="shared" si="7"/>
        <v>0</v>
      </c>
      <c r="S68" s="18" t="b">
        <f t="shared" si="8"/>
        <v>0</v>
      </c>
      <c r="T68" s="19" t="b">
        <f t="shared" si="9"/>
        <v>0</v>
      </c>
      <c r="U68" s="359">
        <f t="shared" si="10"/>
        <v>0</v>
      </c>
      <c r="V68" s="144"/>
      <c r="W68" s="144"/>
      <c r="X68" s="359">
        <f t="shared" si="11"/>
        <v>0</v>
      </c>
      <c r="Y68" s="255">
        <f t="shared" si="12"/>
        <v>1500</v>
      </c>
      <c r="Z68" s="464"/>
      <c r="AA68" s="358">
        <f t="shared" si="13"/>
        <v>0</v>
      </c>
      <c r="AB68" s="207" t="b">
        <f t="shared" si="14"/>
        <v>0</v>
      </c>
    </row>
    <row r="69" spans="1:28" ht="13.5" customHeight="1">
      <c r="A69" s="2" t="str">
        <f t="shared" si="15"/>
        <v/>
      </c>
      <c r="B69" s="20"/>
      <c r="C69" s="31"/>
      <c r="D69" s="463"/>
      <c r="E69" s="20"/>
      <c r="F69" s="20"/>
      <c r="G69" s="21"/>
      <c r="H69" s="20"/>
      <c r="I69" s="30"/>
      <c r="J69" s="30"/>
      <c r="K69" s="22"/>
      <c r="L69" s="464"/>
      <c r="M69" s="142"/>
      <c r="N69" s="142"/>
      <c r="O69" s="299"/>
      <c r="P69" s="299"/>
      <c r="Q69" s="300">
        <f t="shared" ref="Q69:Q70" si="16">(P69-O69)+1</f>
        <v>1</v>
      </c>
      <c r="R69" s="359">
        <f t="shared" ref="R69:R70" si="17">K69*N69</f>
        <v>0</v>
      </c>
      <c r="S69" s="18" t="b">
        <f t="shared" ref="S69:S70" si="18">IF(E69="TERMINATING","TERMINATING",IF(K69=0,IF(L69&gt;0,"NEW"),L69-K69))</f>
        <v>0</v>
      </c>
      <c r="T69" s="19" t="b">
        <f t="shared" ref="T69:T70" si="19">IF(E69="TERMINATING","TERMINATING",IF(K69=0,IF(L69&gt;0,"NEW"),L69/K69-1))</f>
        <v>0</v>
      </c>
      <c r="U69" s="359">
        <f t="shared" ref="U69:U70" si="20">N69*IF(E69="Terminating",K69,L69)</f>
        <v>0</v>
      </c>
      <c r="V69" s="144"/>
      <c r="W69" s="144"/>
      <c r="X69" s="359">
        <f t="shared" ref="X69:X70" si="21">W69*IF(E69="Terminating",K69,L69)</f>
        <v>0</v>
      </c>
      <c r="Y69" s="255">
        <f t="shared" ref="Y69:Y70" si="22">IF(ISERROR(FIND("Single",$H69)),1500,750)-I69</f>
        <v>1500</v>
      </c>
      <c r="Z69" s="464"/>
      <c r="AA69" s="358">
        <f t="shared" si="13"/>
        <v>0</v>
      </c>
      <c r="AB69" s="207" t="b">
        <f t="shared" si="14"/>
        <v>0</v>
      </c>
    </row>
    <row r="70" spans="1:28" ht="13.5" customHeight="1">
      <c r="A70" s="2" t="str">
        <f t="shared" si="15"/>
        <v/>
      </c>
      <c r="B70" s="20"/>
      <c r="C70" s="31"/>
      <c r="D70" s="463"/>
      <c r="E70" s="20"/>
      <c r="F70" s="20"/>
      <c r="G70" s="21"/>
      <c r="H70" s="20"/>
      <c r="I70" s="30"/>
      <c r="J70" s="30"/>
      <c r="K70" s="22"/>
      <c r="L70" s="464"/>
      <c r="M70" s="142"/>
      <c r="N70" s="142"/>
      <c r="O70" s="299"/>
      <c r="P70" s="299"/>
      <c r="Q70" s="300">
        <f t="shared" si="16"/>
        <v>1</v>
      </c>
      <c r="R70" s="359">
        <f t="shared" si="17"/>
        <v>0</v>
      </c>
      <c r="S70" s="18" t="b">
        <f t="shared" si="18"/>
        <v>0</v>
      </c>
      <c r="T70" s="19" t="b">
        <f t="shared" si="19"/>
        <v>0</v>
      </c>
      <c r="U70" s="359">
        <f t="shared" si="20"/>
        <v>0</v>
      </c>
      <c r="V70" s="144"/>
      <c r="W70" s="144"/>
      <c r="X70" s="359">
        <f t="shared" si="21"/>
        <v>0</v>
      </c>
      <c r="Y70" s="255">
        <f t="shared" si="22"/>
        <v>1500</v>
      </c>
      <c r="Z70" s="464"/>
      <c r="AA70" s="358">
        <f t="shared" ref="AA70" si="23">IF($E70="Terminating",
IF(ISBLANK(Z70), "Migration-to new price required",$N70*Z70),
IF(ISBLANK(Z70),$N70*L70,NA()))</f>
        <v>0</v>
      </c>
      <c r="AB70" s="207" t="b">
        <f t="shared" si="14"/>
        <v>0</v>
      </c>
    </row>
  </sheetData>
  <sortState xmlns:xlrd2="http://schemas.microsoft.com/office/spreadsheetml/2017/richdata2" ref="A6:AA9">
    <sortCondition ref="B6:B9"/>
  </sortState>
  <mergeCells count="1">
    <mergeCell ref="D2:F2"/>
  </mergeCells>
  <phoneticPr fontId="65" type="noConversion"/>
  <dataValidations xWindow="629" yWindow="365" count="16">
    <dataValidation allowBlank="1" showInputMessage="1" showErrorMessage="1" promptTitle="Do not enter insurer name" prompt="This cell is automated from Template C" sqref="B2 D2" xr:uid="{00000000-0002-0000-0000-000000000000}"/>
    <dataValidation allowBlank="1" showInputMessage="1" showErrorMessage="1" promptTitle="Product Name" prompt="Insert full product name" sqref="D4:D70" xr:uid="{0EC4FE59-7272-437F-A665-BD7C83471283}"/>
    <dataValidation allowBlank="1" showInputMessage="1" showErrorMessage="1" promptTitle="Total Number of Policies Covered" prompt="Insert total number of policies covered" sqref="N4:N70" xr:uid="{E048DF06-E3D3-425A-9A23-6AD631BF8D78}"/>
    <dataValidation allowBlank="1" showInputMessage="1" showErrorMessage="1" promptTitle="Discount Conversion Factor" prompt="Insert projected average aged-based discount conversion factor applied" sqref="P4:P70" xr:uid="{5F6BDACC-3CA2-4046-B81E-4AAB04623C46}"/>
    <dataValidation allowBlank="1" showInputMessage="1" showErrorMessage="1" promptTitle="Current Monthly Premium" prompt="Insert current monthly premium dollar amount, leave blank if a new product" sqref="K4:K70" xr:uid="{48D68532-D557-4602-84E0-DF7F990E0096}"/>
    <dataValidation allowBlank="1" showInputMessage="1" showErrorMessage="1" promptTitle="Discount Conversion Factor" prompt="Insert current average age-based discount conversion applied" sqref="O4:O70" xr:uid="{699E9960-5443-45DC-82E2-44A39EB07630}"/>
    <dataValidation showInputMessage="1" showErrorMessage="1" errorTitle="Incorrect Format" error="Please enter numbers between 0 and 3000 only - Do not leave cell blank" promptTitle="Annual Co-Payment" prompt="Insert annual co-payment amount ($)" sqref="J4:J70" xr:uid="{AB7219AB-DFF8-4C4C-8FC6-AAA0F04627B8}"/>
    <dataValidation showInputMessage="1" showErrorMessage="1" errorTitle="Incorrect Format" error="Please enter numbers between 0 and 3000 only - Do not leave cell blank" promptTitle="Annual Excess" prompt="Insert annual excess amount ($)" sqref="I4:I70" xr:uid="{A65EC6D9-0F09-4A59-B1D4-9421B92FAF4F}"/>
    <dataValidation allowBlank="1" showInputMessage="1" showErrorMessage="1" promptTitle="Total Number of People Covered" prompt="Insert total number of people covered" sqref="M4:M70" xr:uid="{CBFAD755-CEA2-4AA6-97F6-04D1594B4AA2}"/>
    <dataValidation allowBlank="1" showInputMessage="1" showErrorMessage="1" promptTitle="Product Code" prompt="Insert full product code per PHIS" sqref="C4:C70" xr:uid="{A077EF95-9DD2-4105-AE14-35BA2E35F9CF}"/>
    <dataValidation allowBlank="1" showInputMessage="1" showErrorMessage="1" promptTitle="Total Number Policy Migration" prompt="Insert total estimated number of policies migrating due to dependents reform" sqref="W4:W70" xr:uid="{AE099DDE-FF7C-46E5-8AF3-8A0663D6A14D}"/>
    <dataValidation allowBlank="1" showInputMessage="1" showErrorMessage="1" promptTitle="Total Number People Migration" prompt="Insert total estimated number of people migrating due to dependents reform" sqref="V4:V70" xr:uid="{EDFA5BD5-05FC-40C8-B350-DBB4DF83EBB8}"/>
    <dataValidation type="list" allowBlank="1" showInputMessage="1" showErrorMessage="1" promptTitle="State" prompt="Select from drop-down list" sqref="B4:B70" xr:uid="{1718AC98-AA68-4E81-AA37-D72092CE88D3}">
      <formula1>State</formula1>
    </dataValidation>
    <dataValidation type="list" allowBlank="1" showInputMessage="1" showErrorMessage="1" promptTitle="Product Status" prompt="Select from drop-down list" sqref="E4:E70" xr:uid="{59F5CBA7-C6C8-466A-93D8-86281B7585E4}">
      <formula1>Product_Status</formula1>
    </dataValidation>
    <dataValidation type="list" allowBlank="1" showInputMessage="1" showErrorMessage="1" promptTitle="Hospital Category" prompt="Select from drop-down list" sqref="G4:G70" xr:uid="{28F649EA-7880-4FCE-8D1E-1FC09C585D80}">
      <formula1>Hospital_Category</formula1>
    </dataValidation>
    <dataValidation allowBlank="1" showInputMessage="1" showErrorMessage="1" promptTitle="Requested Monthly Premium" prompt="Insert requested monthly premium dollar amount. _x000a__x000a_For planned new products where pricing is yet to be finalised, provide premium on best estimate basis._x000a__x000a_For terminating products, set to current premium." sqref="L4:L70" xr:uid="{9DF52D01-BB48-46C2-8911-48D9DA744E67}"/>
  </dataValidations>
  <pageMargins left="0.70866141732283472" right="0.70866141732283472" top="0.74803149606299213" bottom="0.74803149606299213" header="0.31496062992125984" footer="0.31496062992125984"/>
  <pageSetup paperSize="8" scale="57" fitToHeight="0" orientation="landscape" r:id="rId1"/>
  <headerFooter>
    <oddHeader>&amp;C&amp;"Calibri"&amp;12&amp;KFF0000 OFFICIAL&amp;1#_x000D_</oddHeader>
    <oddFooter>&amp;C_x000D_&amp;1#&amp;"Calibri"&amp;12&amp;KFF0000 OFFICIAL</oddFooter>
  </headerFooter>
  <legacyDrawing r:id="rId2"/>
  <extLst>
    <ext xmlns:x14="http://schemas.microsoft.com/office/spreadsheetml/2009/9/main" uri="{CCE6A557-97BC-4b89-ADB6-D9C93CAAB3DF}">
      <x14:dataValidations xmlns:xm="http://schemas.microsoft.com/office/excel/2006/main" xWindow="629" yWindow="365" count="2">
        <x14:dataValidation type="list" allowBlank="1" showInputMessage="1" showErrorMessage="1" promptTitle="Product Coverage" prompt="Select from drop-down list" xr:uid="{CDC1CE24-2A2C-4FC0-93F3-15CC4DA4D120}">
          <x14:formula1>
            <xm:f>'Data Entry Key'!$D$2:$D$5</xm:f>
          </x14:formula1>
          <xm:sqref>F4:F70</xm:sqref>
        </x14:dataValidation>
        <x14:dataValidation type="list" allowBlank="1" showInputMessage="1" showErrorMessage="1" promptTitle="Insured Group" prompt="Select from drop-down list" xr:uid="{F9EDF381-4EC7-45B9-B3A8-B97420703C28}">
          <x14:formula1>
            <xm:f>'Data Entry Key'!$B$2:$B$8</xm:f>
          </x14:formula1>
          <xm:sqref>H4:H70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BD1DB-113A-4A81-A014-A72B41E0ABA9}">
  <sheetPr codeName="Sheet4">
    <pageSetUpPr fitToPage="1"/>
  </sheetPr>
  <dimension ref="A1:AZ94"/>
  <sheetViews>
    <sheetView workbookViewId="0">
      <pane xSplit="1" ySplit="6" topLeftCell="B7" activePane="bottomRight" state="frozen"/>
      <selection pane="topRight" activeCell="B1" sqref="B1"/>
      <selection pane="bottomLeft" activeCell="A7" sqref="A7"/>
      <selection pane="bottomRight"/>
    </sheetView>
  </sheetViews>
  <sheetFormatPr defaultColWidth="0" defaultRowHeight="12.5" zeroHeight="1"/>
  <cols>
    <col min="1" max="1" width="85.54296875" style="3" customWidth="1"/>
    <col min="2" max="19" width="10" style="3" customWidth="1"/>
    <col min="20" max="49" width="9.453125" style="3" customWidth="1"/>
    <col min="50" max="52" width="9.453125" style="83" customWidth="1"/>
    <col min="53" max="16384" width="9.453125" style="3" hidden="1"/>
  </cols>
  <sheetData>
    <row r="1" spans="1:52" ht="20.149999999999999" customHeight="1">
      <c r="A1" s="161" t="str">
        <f>"TEMPLATE B - Health Benefits Fund - Financial Forecasts - " &amp; prem_round &amp; " Premium Round - Protected information under PHI Act 2007 when completed"</f>
        <v>TEMPLATE B - Health Benefits Fund - Financial Forecasts - 2026 Premium Round - Protected information under PHI Act 2007 when completed</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496"/>
      <c r="AY1" s="496"/>
      <c r="AZ1" s="497"/>
    </row>
    <row r="2" spans="1:52" ht="13">
      <c r="A2" s="206" t="s">
        <v>1</v>
      </c>
      <c r="B2" s="588" t="str">
        <f>IF('Template C - Snapshot'!$B$3="","",'Template C - Snapshot'!$B$3)</f>
        <v/>
      </c>
      <c r="C2" s="589"/>
      <c r="D2" s="589"/>
      <c r="E2" s="589"/>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498"/>
      <c r="AY2" s="498"/>
      <c r="AZ2" s="499"/>
    </row>
    <row r="3" spans="1:52" ht="13">
      <c r="A3" s="99"/>
      <c r="B3" s="529">
        <f t="shared" ref="B3:R3" si="0">EOMONTH(C3, -1)</f>
        <v>45412</v>
      </c>
      <c r="C3" s="529">
        <f t="shared" si="0"/>
        <v>45443</v>
      </c>
      <c r="D3" s="529">
        <f t="shared" si="0"/>
        <v>45473</v>
      </c>
      <c r="E3" s="529">
        <f t="shared" si="0"/>
        <v>45504</v>
      </c>
      <c r="F3" s="529">
        <f t="shared" si="0"/>
        <v>45535</v>
      </c>
      <c r="G3" s="529">
        <f t="shared" si="0"/>
        <v>45565</v>
      </c>
      <c r="H3" s="529">
        <f t="shared" si="0"/>
        <v>45596</v>
      </c>
      <c r="I3" s="529">
        <f t="shared" si="0"/>
        <v>45626</v>
      </c>
      <c r="J3" s="529">
        <f t="shared" si="0"/>
        <v>45657</v>
      </c>
      <c r="K3" s="529">
        <f t="shared" si="0"/>
        <v>45688</v>
      </c>
      <c r="L3" s="529">
        <f t="shared" si="0"/>
        <v>45716</v>
      </c>
      <c r="M3" s="529">
        <f t="shared" si="0"/>
        <v>45747</v>
      </c>
      <c r="N3" s="529">
        <f t="shared" si="0"/>
        <v>45777</v>
      </c>
      <c r="O3" s="529">
        <f t="shared" si="0"/>
        <v>45808</v>
      </c>
      <c r="P3" s="529">
        <f t="shared" si="0"/>
        <v>45838</v>
      </c>
      <c r="Q3" s="529">
        <f t="shared" si="0"/>
        <v>45869</v>
      </c>
      <c r="R3" s="529">
        <f t="shared" si="0"/>
        <v>45900</v>
      </c>
      <c r="S3" s="146">
        <f t="shared" ref="S3:AU3" si="1">EOMONTH(T3, -1)</f>
        <v>45930</v>
      </c>
      <c r="T3" s="146">
        <f t="shared" si="1"/>
        <v>45961</v>
      </c>
      <c r="U3" s="146">
        <f t="shared" si="1"/>
        <v>45991</v>
      </c>
      <c r="V3" s="146">
        <f t="shared" si="1"/>
        <v>46022</v>
      </c>
      <c r="W3" s="146">
        <f t="shared" si="1"/>
        <v>46053</v>
      </c>
      <c r="X3" s="146">
        <f t="shared" si="1"/>
        <v>46081</v>
      </c>
      <c r="Y3" s="146">
        <f t="shared" si="1"/>
        <v>46112</v>
      </c>
      <c r="Z3" s="146">
        <f t="shared" si="1"/>
        <v>46142</v>
      </c>
      <c r="AA3" s="146">
        <f t="shared" si="1"/>
        <v>46173</v>
      </c>
      <c r="AB3" s="146">
        <f t="shared" si="1"/>
        <v>46203</v>
      </c>
      <c r="AC3" s="146">
        <f t="shared" si="1"/>
        <v>46234</v>
      </c>
      <c r="AD3" s="146">
        <f t="shared" si="1"/>
        <v>46265</v>
      </c>
      <c r="AE3" s="146">
        <f t="shared" si="1"/>
        <v>46295</v>
      </c>
      <c r="AF3" s="146">
        <f t="shared" si="1"/>
        <v>46326</v>
      </c>
      <c r="AG3" s="146">
        <f t="shared" si="1"/>
        <v>46356</v>
      </c>
      <c r="AH3" s="146">
        <f t="shared" si="1"/>
        <v>46387</v>
      </c>
      <c r="AI3" s="146">
        <f t="shared" si="1"/>
        <v>46418</v>
      </c>
      <c r="AJ3" s="146">
        <f t="shared" si="1"/>
        <v>46446</v>
      </c>
      <c r="AK3" s="146">
        <f t="shared" si="1"/>
        <v>46477</v>
      </c>
      <c r="AL3" s="146">
        <f t="shared" si="1"/>
        <v>46507</v>
      </c>
      <c r="AM3" s="146">
        <f t="shared" si="1"/>
        <v>46538</v>
      </c>
      <c r="AN3" s="146">
        <f t="shared" si="1"/>
        <v>46568</v>
      </c>
      <c r="AO3" s="146">
        <f t="shared" si="1"/>
        <v>46599</v>
      </c>
      <c r="AP3" s="146">
        <f t="shared" si="1"/>
        <v>46630</v>
      </c>
      <c r="AQ3" s="146">
        <f t="shared" si="1"/>
        <v>46660</v>
      </c>
      <c r="AR3" s="146">
        <f t="shared" si="1"/>
        <v>46691</v>
      </c>
      <c r="AS3" s="146">
        <f t="shared" si="1"/>
        <v>46721</v>
      </c>
      <c r="AT3" s="146">
        <f t="shared" si="1"/>
        <v>46752</v>
      </c>
      <c r="AU3" s="146">
        <f t="shared" si="1"/>
        <v>46783</v>
      </c>
      <c r="AV3" s="146">
        <f>EOMONTH(AW3, -1)</f>
        <v>46812</v>
      </c>
      <c r="AW3" s="146">
        <f>EOMONTH(prem_year_end, 12)</f>
        <v>46843</v>
      </c>
      <c r="AX3" s="529">
        <f>EOMONTH(AW3, 1)</f>
        <v>46873</v>
      </c>
      <c r="AY3" s="529">
        <f t="shared" ref="AY3:AZ3" si="2">EOMONTH(AX3, 1)</f>
        <v>46904</v>
      </c>
      <c r="AZ3" s="530">
        <f t="shared" si="2"/>
        <v>46934</v>
      </c>
    </row>
    <row r="4" spans="1:52" ht="13">
      <c r="A4" s="85"/>
      <c r="B4" s="531" t="s">
        <v>18</v>
      </c>
      <c r="C4" s="199"/>
      <c r="D4" s="86"/>
      <c r="E4" s="86"/>
      <c r="F4" s="86"/>
      <c r="G4" s="86"/>
      <c r="H4" s="199"/>
      <c r="I4" s="199"/>
      <c r="J4" s="199"/>
      <c r="K4" s="199"/>
      <c r="L4" s="199"/>
      <c r="M4" s="199"/>
      <c r="N4" s="199"/>
      <c r="O4" s="199"/>
      <c r="P4" s="199"/>
      <c r="Q4" s="199"/>
      <c r="R4" s="199"/>
      <c r="S4" s="199"/>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532"/>
    </row>
    <row r="5" spans="1:52" ht="13">
      <c r="A5" s="85"/>
      <c r="B5" s="531" t="s">
        <v>19</v>
      </c>
      <c r="C5" s="199" t="s">
        <v>19</v>
      </c>
      <c r="D5" s="199" t="s">
        <v>19</v>
      </c>
      <c r="E5" s="199" t="s">
        <v>19</v>
      </c>
      <c r="F5" s="199" t="s">
        <v>19</v>
      </c>
      <c r="G5" s="199" t="s">
        <v>19</v>
      </c>
      <c r="H5" s="199" t="s">
        <v>19</v>
      </c>
      <c r="I5" s="199" t="s">
        <v>19</v>
      </c>
      <c r="J5" s="199" t="s">
        <v>19</v>
      </c>
      <c r="K5" s="199" t="s">
        <v>19</v>
      </c>
      <c r="L5" s="199" t="s">
        <v>19</v>
      </c>
      <c r="M5" s="199" t="s">
        <v>19</v>
      </c>
      <c r="N5" s="199" t="s">
        <v>19</v>
      </c>
      <c r="O5" s="199" t="s">
        <v>19</v>
      </c>
      <c r="P5" s="199" t="s">
        <v>19</v>
      </c>
      <c r="Q5" s="199" t="s">
        <v>19</v>
      </c>
      <c r="R5" s="199" t="s">
        <v>19</v>
      </c>
      <c r="S5" s="199" t="s">
        <v>19</v>
      </c>
      <c r="T5" s="199" t="s">
        <v>20</v>
      </c>
      <c r="U5" s="199" t="s">
        <v>21</v>
      </c>
      <c r="V5" s="199" t="s">
        <v>21</v>
      </c>
      <c r="W5" s="199" t="s">
        <v>21</v>
      </c>
      <c r="X5" s="199" t="s">
        <v>21</v>
      </c>
      <c r="Y5" s="199" t="s">
        <v>21</v>
      </c>
      <c r="Z5" s="199" t="s">
        <v>21</v>
      </c>
      <c r="AA5" s="199" t="s">
        <v>21</v>
      </c>
      <c r="AB5" s="199" t="s">
        <v>21</v>
      </c>
      <c r="AC5" s="199" t="s">
        <v>21</v>
      </c>
      <c r="AD5" s="199" t="s">
        <v>21</v>
      </c>
      <c r="AE5" s="199" t="s">
        <v>21</v>
      </c>
      <c r="AF5" s="199" t="s">
        <v>21</v>
      </c>
      <c r="AG5" s="199" t="s">
        <v>21</v>
      </c>
      <c r="AH5" s="199" t="s">
        <v>21</v>
      </c>
      <c r="AI5" s="199" t="s">
        <v>21</v>
      </c>
      <c r="AJ5" s="199" t="s">
        <v>21</v>
      </c>
      <c r="AK5" s="199" t="s">
        <v>21</v>
      </c>
      <c r="AL5" s="199" t="s">
        <v>21</v>
      </c>
      <c r="AM5" s="199" t="s">
        <v>21</v>
      </c>
      <c r="AN5" s="199" t="s">
        <v>21</v>
      </c>
      <c r="AO5" s="199" t="s">
        <v>21</v>
      </c>
      <c r="AP5" s="199" t="s">
        <v>21</v>
      </c>
      <c r="AQ5" s="199" t="s">
        <v>21</v>
      </c>
      <c r="AR5" s="199" t="s">
        <v>21</v>
      </c>
      <c r="AS5" s="199" t="s">
        <v>21</v>
      </c>
      <c r="AT5" s="199" t="s">
        <v>21</v>
      </c>
      <c r="AU5" s="199" t="s">
        <v>21</v>
      </c>
      <c r="AV5" s="199" t="s">
        <v>21</v>
      </c>
      <c r="AW5" s="199" t="s">
        <v>21</v>
      </c>
      <c r="AX5" s="199" t="s">
        <v>21</v>
      </c>
      <c r="AY5" s="199" t="s">
        <v>21</v>
      </c>
      <c r="AZ5" s="533" t="s">
        <v>21</v>
      </c>
    </row>
    <row r="6" spans="1:52" ht="13.5" thickBot="1">
      <c r="A6" s="200"/>
      <c r="B6" s="534" t="s">
        <v>22</v>
      </c>
      <c r="C6" s="201" t="s">
        <v>22</v>
      </c>
      <c r="D6" s="201" t="s">
        <v>22</v>
      </c>
      <c r="E6" s="201" t="s">
        <v>22</v>
      </c>
      <c r="F6" s="201" t="s">
        <v>22</v>
      </c>
      <c r="G6" s="201" t="s">
        <v>22</v>
      </c>
      <c r="H6" s="201" t="s">
        <v>22</v>
      </c>
      <c r="I6" s="201" t="s">
        <v>22</v>
      </c>
      <c r="J6" s="201" t="s">
        <v>22</v>
      </c>
      <c r="K6" s="201" t="s">
        <v>22</v>
      </c>
      <c r="L6" s="201" t="s">
        <v>22</v>
      </c>
      <c r="M6" s="201" t="s">
        <v>22</v>
      </c>
      <c r="N6" s="201" t="s">
        <v>22</v>
      </c>
      <c r="O6" s="201" t="s">
        <v>22</v>
      </c>
      <c r="P6" s="201" t="s">
        <v>22</v>
      </c>
      <c r="Q6" s="201" t="s">
        <v>22</v>
      </c>
      <c r="R6" s="201" t="s">
        <v>22</v>
      </c>
      <c r="S6" s="201" t="s">
        <v>22</v>
      </c>
      <c r="T6" s="201" t="s">
        <v>22</v>
      </c>
      <c r="U6" s="201" t="s">
        <v>22</v>
      </c>
      <c r="V6" s="201" t="s">
        <v>22</v>
      </c>
      <c r="W6" s="201" t="s">
        <v>22</v>
      </c>
      <c r="X6" s="201" t="s">
        <v>22</v>
      </c>
      <c r="Y6" s="201" t="s">
        <v>22</v>
      </c>
      <c r="Z6" s="201" t="s">
        <v>22</v>
      </c>
      <c r="AA6" s="201" t="s">
        <v>22</v>
      </c>
      <c r="AB6" s="201" t="s">
        <v>22</v>
      </c>
      <c r="AC6" s="201" t="s">
        <v>22</v>
      </c>
      <c r="AD6" s="201" t="s">
        <v>22</v>
      </c>
      <c r="AE6" s="201" t="s">
        <v>22</v>
      </c>
      <c r="AF6" s="201" t="s">
        <v>22</v>
      </c>
      <c r="AG6" s="201" t="s">
        <v>22</v>
      </c>
      <c r="AH6" s="201" t="s">
        <v>22</v>
      </c>
      <c r="AI6" s="201" t="s">
        <v>22</v>
      </c>
      <c r="AJ6" s="201" t="s">
        <v>22</v>
      </c>
      <c r="AK6" s="201" t="s">
        <v>22</v>
      </c>
      <c r="AL6" s="201" t="s">
        <v>22</v>
      </c>
      <c r="AM6" s="201" t="s">
        <v>22</v>
      </c>
      <c r="AN6" s="201" t="s">
        <v>22</v>
      </c>
      <c r="AO6" s="201" t="s">
        <v>22</v>
      </c>
      <c r="AP6" s="201" t="s">
        <v>22</v>
      </c>
      <c r="AQ6" s="201" t="s">
        <v>22</v>
      </c>
      <c r="AR6" s="201" t="s">
        <v>22</v>
      </c>
      <c r="AS6" s="201" t="s">
        <v>22</v>
      </c>
      <c r="AT6" s="201" t="s">
        <v>22</v>
      </c>
      <c r="AU6" s="201" t="s">
        <v>22</v>
      </c>
      <c r="AV6" s="201" t="s">
        <v>22</v>
      </c>
      <c r="AW6" s="201" t="s">
        <v>22</v>
      </c>
      <c r="AX6" s="201" t="s">
        <v>22</v>
      </c>
      <c r="AY6" s="201" t="s">
        <v>22</v>
      </c>
      <c r="AZ6" s="535" t="s">
        <v>22</v>
      </c>
    </row>
    <row r="7" spans="1:52" ht="15.5">
      <c r="A7" s="96" t="s">
        <v>23</v>
      </c>
      <c r="B7" s="536"/>
      <c r="C7" s="256"/>
      <c r="D7" s="256"/>
      <c r="E7" s="256"/>
      <c r="F7" s="256"/>
      <c r="G7" s="256"/>
      <c r="H7" s="256"/>
      <c r="I7" s="256"/>
      <c r="J7" s="256"/>
      <c r="K7" s="256"/>
      <c r="L7" s="256"/>
      <c r="M7" s="256"/>
      <c r="N7" s="256"/>
      <c r="O7" s="256"/>
      <c r="P7" s="256"/>
      <c r="Q7" s="256"/>
      <c r="R7" s="256"/>
      <c r="S7" s="25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6"/>
      <c r="AZ7" s="532"/>
    </row>
    <row r="8" spans="1:52" ht="13">
      <c r="A8" s="101" t="s">
        <v>24</v>
      </c>
      <c r="B8" s="102"/>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532"/>
    </row>
    <row r="9" spans="1:52" ht="13">
      <c r="A9" s="87" t="s">
        <v>25</v>
      </c>
      <c r="B9" s="537"/>
      <c r="C9" s="466"/>
      <c r="D9" s="466"/>
      <c r="E9" s="466"/>
      <c r="F9" s="466"/>
      <c r="G9" s="466"/>
      <c r="H9" s="466"/>
      <c r="I9" s="466"/>
      <c r="J9" s="466"/>
      <c r="K9" s="466"/>
      <c r="L9" s="466"/>
      <c r="M9" s="466"/>
      <c r="N9" s="466"/>
      <c r="O9" s="466"/>
      <c r="P9" s="466"/>
      <c r="Q9" s="466"/>
      <c r="R9" s="466"/>
      <c r="S9" s="466"/>
      <c r="T9" s="466"/>
      <c r="U9" s="466"/>
      <c r="V9" s="466"/>
      <c r="W9" s="466"/>
      <c r="X9" s="466"/>
      <c r="Y9" s="466"/>
      <c r="Z9" s="466"/>
      <c r="AA9" s="466"/>
      <c r="AB9" s="466"/>
      <c r="AC9" s="466"/>
      <c r="AD9" s="466"/>
      <c r="AE9" s="466"/>
      <c r="AF9" s="466"/>
      <c r="AG9" s="466"/>
      <c r="AH9" s="466"/>
      <c r="AI9" s="466"/>
      <c r="AJ9" s="466"/>
      <c r="AK9" s="466"/>
      <c r="AL9" s="466"/>
      <c r="AM9" s="466"/>
      <c r="AN9" s="466"/>
      <c r="AO9" s="466"/>
      <c r="AP9" s="466"/>
      <c r="AQ9" s="466"/>
      <c r="AR9" s="466"/>
      <c r="AS9" s="466"/>
      <c r="AT9" s="466"/>
      <c r="AU9" s="466"/>
      <c r="AV9" s="466"/>
      <c r="AW9" s="466"/>
      <c r="AX9" s="466"/>
      <c r="AY9" s="466"/>
      <c r="AZ9" s="538"/>
    </row>
    <row r="10" spans="1:52" ht="13">
      <c r="A10" s="85" t="s">
        <v>26</v>
      </c>
      <c r="B10" s="114"/>
      <c r="C10" s="88"/>
      <c r="D10" s="88"/>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88"/>
      <c r="AT10" s="88"/>
      <c r="AU10" s="88"/>
      <c r="AV10" s="88"/>
      <c r="AW10" s="88"/>
      <c r="AX10" s="88"/>
      <c r="AY10" s="88"/>
      <c r="AZ10" s="539"/>
    </row>
    <row r="11" spans="1:52" ht="13">
      <c r="A11" s="85" t="s">
        <v>27</v>
      </c>
      <c r="B11" s="114"/>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c r="AU11" s="88"/>
      <c r="AV11" s="88"/>
      <c r="AW11" s="88"/>
      <c r="AX11" s="88"/>
      <c r="AY11" s="88"/>
      <c r="AZ11" s="539"/>
    </row>
    <row r="12" spans="1:52" ht="13">
      <c r="A12" s="87" t="s">
        <v>28</v>
      </c>
      <c r="B12" s="90">
        <f t="shared" ref="B12:R12" si="3">SUM(B10:B11)</f>
        <v>0</v>
      </c>
      <c r="C12" s="90">
        <f t="shared" si="3"/>
        <v>0</v>
      </c>
      <c r="D12" s="90">
        <f t="shared" si="3"/>
        <v>0</v>
      </c>
      <c r="E12" s="90">
        <f t="shared" si="3"/>
        <v>0</v>
      </c>
      <c r="F12" s="90">
        <f t="shared" si="3"/>
        <v>0</v>
      </c>
      <c r="G12" s="90">
        <f t="shared" si="3"/>
        <v>0</v>
      </c>
      <c r="H12" s="90">
        <f t="shared" si="3"/>
        <v>0</v>
      </c>
      <c r="I12" s="90">
        <f t="shared" si="3"/>
        <v>0</v>
      </c>
      <c r="J12" s="90">
        <f t="shared" si="3"/>
        <v>0</v>
      </c>
      <c r="K12" s="90">
        <f t="shared" si="3"/>
        <v>0</v>
      </c>
      <c r="L12" s="90">
        <f t="shared" si="3"/>
        <v>0</v>
      </c>
      <c r="M12" s="90">
        <f t="shared" si="3"/>
        <v>0</v>
      </c>
      <c r="N12" s="90">
        <f t="shared" si="3"/>
        <v>0</v>
      </c>
      <c r="O12" s="90">
        <f t="shared" si="3"/>
        <v>0</v>
      </c>
      <c r="P12" s="90">
        <f t="shared" si="3"/>
        <v>0</v>
      </c>
      <c r="Q12" s="90">
        <f t="shared" si="3"/>
        <v>0</v>
      </c>
      <c r="R12" s="90">
        <f t="shared" si="3"/>
        <v>0</v>
      </c>
      <c r="S12" s="90">
        <f t="shared" ref="S12:AW12" si="4">SUM(S10:S11)</f>
        <v>0</v>
      </c>
      <c r="T12" s="90">
        <f t="shared" si="4"/>
        <v>0</v>
      </c>
      <c r="U12" s="90">
        <f t="shared" si="4"/>
        <v>0</v>
      </c>
      <c r="V12" s="90">
        <f t="shared" si="4"/>
        <v>0</v>
      </c>
      <c r="W12" s="90">
        <f t="shared" si="4"/>
        <v>0</v>
      </c>
      <c r="X12" s="90">
        <f t="shared" si="4"/>
        <v>0</v>
      </c>
      <c r="Y12" s="90">
        <f t="shared" si="4"/>
        <v>0</v>
      </c>
      <c r="Z12" s="90">
        <f t="shared" si="4"/>
        <v>0</v>
      </c>
      <c r="AA12" s="90">
        <f t="shared" si="4"/>
        <v>0</v>
      </c>
      <c r="AB12" s="90">
        <f t="shared" si="4"/>
        <v>0</v>
      </c>
      <c r="AC12" s="90">
        <f t="shared" si="4"/>
        <v>0</v>
      </c>
      <c r="AD12" s="90">
        <f t="shared" si="4"/>
        <v>0</v>
      </c>
      <c r="AE12" s="90">
        <f t="shared" si="4"/>
        <v>0</v>
      </c>
      <c r="AF12" s="90">
        <f t="shared" si="4"/>
        <v>0</v>
      </c>
      <c r="AG12" s="90">
        <f t="shared" si="4"/>
        <v>0</v>
      </c>
      <c r="AH12" s="90">
        <f t="shared" si="4"/>
        <v>0</v>
      </c>
      <c r="AI12" s="90">
        <f t="shared" si="4"/>
        <v>0</v>
      </c>
      <c r="AJ12" s="90">
        <f t="shared" si="4"/>
        <v>0</v>
      </c>
      <c r="AK12" s="90">
        <f t="shared" si="4"/>
        <v>0</v>
      </c>
      <c r="AL12" s="90">
        <f t="shared" si="4"/>
        <v>0</v>
      </c>
      <c r="AM12" s="90">
        <f t="shared" si="4"/>
        <v>0</v>
      </c>
      <c r="AN12" s="90">
        <f t="shared" si="4"/>
        <v>0</v>
      </c>
      <c r="AO12" s="90">
        <f t="shared" si="4"/>
        <v>0</v>
      </c>
      <c r="AP12" s="90">
        <f t="shared" si="4"/>
        <v>0</v>
      </c>
      <c r="AQ12" s="90">
        <f t="shared" si="4"/>
        <v>0</v>
      </c>
      <c r="AR12" s="90">
        <f t="shared" si="4"/>
        <v>0</v>
      </c>
      <c r="AS12" s="90">
        <f t="shared" si="4"/>
        <v>0</v>
      </c>
      <c r="AT12" s="90">
        <f t="shared" si="4"/>
        <v>0</v>
      </c>
      <c r="AU12" s="90">
        <f t="shared" si="4"/>
        <v>0</v>
      </c>
      <c r="AV12" s="90">
        <f t="shared" si="4"/>
        <v>0</v>
      </c>
      <c r="AW12" s="90">
        <f t="shared" si="4"/>
        <v>0</v>
      </c>
      <c r="AX12" s="90">
        <f t="shared" ref="AX12:AZ12" si="5">SUM(AX10:AX11)</f>
        <v>0</v>
      </c>
      <c r="AY12" s="90">
        <f t="shared" si="5"/>
        <v>0</v>
      </c>
      <c r="AZ12" s="90">
        <f t="shared" si="5"/>
        <v>0</v>
      </c>
    </row>
    <row r="13" spans="1:52" ht="13">
      <c r="A13" s="85"/>
      <c r="B13" s="110"/>
      <c r="C13" s="111"/>
      <c r="D13" s="111"/>
      <c r="E13" s="111"/>
      <c r="F13" s="111"/>
      <c r="G13" s="111"/>
      <c r="H13" s="111"/>
      <c r="I13" s="111"/>
      <c r="J13" s="111"/>
      <c r="K13" s="111"/>
      <c r="L13" s="111"/>
      <c r="M13" s="111"/>
      <c r="N13" s="111"/>
      <c r="O13" s="111"/>
      <c r="P13" s="111"/>
      <c r="Q13" s="111"/>
      <c r="R13" s="111"/>
      <c r="S13" s="111"/>
      <c r="T13" s="89"/>
      <c r="U13" s="89"/>
      <c r="V13" s="89"/>
      <c r="W13" s="89"/>
      <c r="X13" s="89"/>
      <c r="Y13" s="89"/>
      <c r="Z13" s="89"/>
      <c r="AA13" s="89"/>
      <c r="AB13" s="86"/>
      <c r="AC13" s="89"/>
      <c r="AD13" s="89"/>
      <c r="AE13" s="89"/>
      <c r="AF13" s="89"/>
      <c r="AG13" s="89"/>
      <c r="AH13" s="89"/>
      <c r="AI13" s="89"/>
      <c r="AJ13" s="89"/>
      <c r="AK13" s="89"/>
      <c r="AL13" s="89"/>
      <c r="AM13" s="89"/>
      <c r="AN13" s="86"/>
      <c r="AO13" s="89"/>
      <c r="AP13" s="89"/>
      <c r="AQ13" s="89"/>
      <c r="AR13" s="89"/>
      <c r="AS13" s="89"/>
      <c r="AT13" s="89"/>
      <c r="AU13" s="89"/>
      <c r="AV13" s="89"/>
      <c r="AW13" s="89"/>
      <c r="AX13" s="89"/>
      <c r="AY13" s="89"/>
      <c r="AZ13" s="540"/>
    </row>
    <row r="14" spans="1:52" ht="13">
      <c r="A14" s="87" t="s">
        <v>29</v>
      </c>
      <c r="B14" s="541"/>
      <c r="C14" s="467"/>
      <c r="D14" s="467"/>
      <c r="E14" s="467"/>
      <c r="F14" s="467"/>
      <c r="G14" s="467"/>
      <c r="H14" s="467"/>
      <c r="I14" s="467"/>
      <c r="J14" s="467"/>
      <c r="K14" s="467"/>
      <c r="L14" s="467"/>
      <c r="M14" s="467"/>
      <c r="N14" s="467"/>
      <c r="O14" s="467"/>
      <c r="P14" s="467"/>
      <c r="Q14" s="467"/>
      <c r="R14" s="467"/>
      <c r="S14" s="467"/>
      <c r="T14" s="467"/>
      <c r="U14" s="467"/>
      <c r="V14" s="467"/>
      <c r="W14" s="467"/>
      <c r="X14" s="467"/>
      <c r="Y14" s="467"/>
      <c r="Z14" s="467"/>
      <c r="AA14" s="467"/>
      <c r="AB14" s="466"/>
      <c r="AC14" s="467"/>
      <c r="AD14" s="467"/>
      <c r="AE14" s="467"/>
      <c r="AF14" s="467"/>
      <c r="AG14" s="467"/>
      <c r="AH14" s="467"/>
      <c r="AI14" s="467"/>
      <c r="AJ14" s="467"/>
      <c r="AK14" s="467"/>
      <c r="AL14" s="467"/>
      <c r="AM14" s="467"/>
      <c r="AN14" s="466"/>
      <c r="AO14" s="467"/>
      <c r="AP14" s="467"/>
      <c r="AQ14" s="467"/>
      <c r="AR14" s="467"/>
      <c r="AS14" s="467"/>
      <c r="AT14" s="467"/>
      <c r="AU14" s="467"/>
      <c r="AV14" s="467"/>
      <c r="AW14" s="467"/>
      <c r="AX14" s="467"/>
      <c r="AY14" s="467"/>
      <c r="AZ14" s="542"/>
    </row>
    <row r="15" spans="1:52" ht="13">
      <c r="A15" s="85" t="s">
        <v>30</v>
      </c>
      <c r="B15" s="114"/>
      <c r="C15" s="88"/>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539"/>
    </row>
    <row r="16" spans="1:52" ht="13">
      <c r="A16" s="85" t="s">
        <v>31</v>
      </c>
      <c r="B16" s="114"/>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539"/>
    </row>
    <row r="17" spans="1:52" ht="13">
      <c r="A17" s="85" t="s">
        <v>32</v>
      </c>
      <c r="B17" s="114"/>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539"/>
    </row>
    <row r="18" spans="1:52" ht="13">
      <c r="A18" s="85" t="s">
        <v>33</v>
      </c>
      <c r="B18" s="114"/>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539"/>
    </row>
    <row r="19" spans="1:52" ht="13">
      <c r="A19" s="87" t="s">
        <v>34</v>
      </c>
      <c r="B19" s="90">
        <f t="shared" ref="B19:R19" si="6">SUM(B15:B18)</f>
        <v>0</v>
      </c>
      <c r="C19" s="90">
        <f t="shared" si="6"/>
        <v>0</v>
      </c>
      <c r="D19" s="90">
        <f t="shared" si="6"/>
        <v>0</v>
      </c>
      <c r="E19" s="90">
        <f t="shared" si="6"/>
        <v>0</v>
      </c>
      <c r="F19" s="90">
        <f t="shared" si="6"/>
        <v>0</v>
      </c>
      <c r="G19" s="90">
        <f t="shared" si="6"/>
        <v>0</v>
      </c>
      <c r="H19" s="90">
        <f t="shared" si="6"/>
        <v>0</v>
      </c>
      <c r="I19" s="90">
        <f t="shared" si="6"/>
        <v>0</v>
      </c>
      <c r="J19" s="90">
        <f t="shared" si="6"/>
        <v>0</v>
      </c>
      <c r="K19" s="90">
        <f t="shared" si="6"/>
        <v>0</v>
      </c>
      <c r="L19" s="90">
        <f t="shared" si="6"/>
        <v>0</v>
      </c>
      <c r="M19" s="90">
        <f t="shared" si="6"/>
        <v>0</v>
      </c>
      <c r="N19" s="90">
        <f t="shared" si="6"/>
        <v>0</v>
      </c>
      <c r="O19" s="90">
        <f t="shared" si="6"/>
        <v>0</v>
      </c>
      <c r="P19" s="90">
        <f t="shared" si="6"/>
        <v>0</v>
      </c>
      <c r="Q19" s="90">
        <f t="shared" si="6"/>
        <v>0</v>
      </c>
      <c r="R19" s="90">
        <f t="shared" si="6"/>
        <v>0</v>
      </c>
      <c r="S19" s="90">
        <f>SUM(S15:S18)</f>
        <v>0</v>
      </c>
      <c r="T19" s="90">
        <f t="shared" ref="T19:AW19" si="7">SUM(T15:T18)</f>
        <v>0</v>
      </c>
      <c r="U19" s="90">
        <f t="shared" si="7"/>
        <v>0</v>
      </c>
      <c r="V19" s="90">
        <f t="shared" si="7"/>
        <v>0</v>
      </c>
      <c r="W19" s="90">
        <f t="shared" si="7"/>
        <v>0</v>
      </c>
      <c r="X19" s="90">
        <f t="shared" si="7"/>
        <v>0</v>
      </c>
      <c r="Y19" s="90">
        <f t="shared" si="7"/>
        <v>0</v>
      </c>
      <c r="Z19" s="90">
        <f t="shared" si="7"/>
        <v>0</v>
      </c>
      <c r="AA19" s="90">
        <f t="shared" si="7"/>
        <v>0</v>
      </c>
      <c r="AB19" s="90">
        <f t="shared" si="7"/>
        <v>0</v>
      </c>
      <c r="AC19" s="90">
        <f t="shared" si="7"/>
        <v>0</v>
      </c>
      <c r="AD19" s="90">
        <f t="shared" si="7"/>
        <v>0</v>
      </c>
      <c r="AE19" s="90">
        <f t="shared" si="7"/>
        <v>0</v>
      </c>
      <c r="AF19" s="90">
        <f t="shared" si="7"/>
        <v>0</v>
      </c>
      <c r="AG19" s="90">
        <f t="shared" si="7"/>
        <v>0</v>
      </c>
      <c r="AH19" s="90">
        <f t="shared" si="7"/>
        <v>0</v>
      </c>
      <c r="AI19" s="90">
        <f t="shared" si="7"/>
        <v>0</v>
      </c>
      <c r="AJ19" s="90">
        <f t="shared" si="7"/>
        <v>0</v>
      </c>
      <c r="AK19" s="90">
        <f t="shared" si="7"/>
        <v>0</v>
      </c>
      <c r="AL19" s="90">
        <f t="shared" si="7"/>
        <v>0</v>
      </c>
      <c r="AM19" s="90">
        <f t="shared" si="7"/>
        <v>0</v>
      </c>
      <c r="AN19" s="90">
        <f t="shared" si="7"/>
        <v>0</v>
      </c>
      <c r="AO19" s="90">
        <f t="shared" si="7"/>
        <v>0</v>
      </c>
      <c r="AP19" s="90">
        <f t="shared" si="7"/>
        <v>0</v>
      </c>
      <c r="AQ19" s="90">
        <f t="shared" si="7"/>
        <v>0</v>
      </c>
      <c r="AR19" s="90">
        <f t="shared" si="7"/>
        <v>0</v>
      </c>
      <c r="AS19" s="90">
        <f t="shared" si="7"/>
        <v>0</v>
      </c>
      <c r="AT19" s="90">
        <f t="shared" si="7"/>
        <v>0</v>
      </c>
      <c r="AU19" s="90">
        <f t="shared" si="7"/>
        <v>0</v>
      </c>
      <c r="AV19" s="90">
        <f t="shared" si="7"/>
        <v>0</v>
      </c>
      <c r="AW19" s="90">
        <f t="shared" si="7"/>
        <v>0</v>
      </c>
      <c r="AX19" s="90">
        <f t="shared" ref="AX19:AZ19" si="8">SUM(AX15:AX18)</f>
        <v>0</v>
      </c>
      <c r="AY19" s="90">
        <f t="shared" si="8"/>
        <v>0</v>
      </c>
      <c r="AZ19" s="90">
        <f t="shared" si="8"/>
        <v>0</v>
      </c>
    </row>
    <row r="20" spans="1:52" ht="13">
      <c r="A20" s="87"/>
      <c r="B20" s="107"/>
      <c r="C20" s="108"/>
      <c r="D20" s="108"/>
      <c r="E20" s="108"/>
      <c r="F20" s="108"/>
      <c r="G20" s="108"/>
      <c r="H20" s="108"/>
      <c r="I20" s="108"/>
      <c r="J20" s="108"/>
      <c r="K20" s="108"/>
      <c r="L20" s="108"/>
      <c r="M20" s="108"/>
      <c r="N20" s="108"/>
      <c r="O20" s="108"/>
      <c r="P20" s="108"/>
      <c r="Q20" s="108"/>
      <c r="R20" s="108"/>
      <c r="S20" s="108"/>
      <c r="T20" s="104"/>
      <c r="U20" s="104"/>
      <c r="V20" s="104"/>
      <c r="W20" s="104"/>
      <c r="X20" s="104"/>
      <c r="Y20" s="104"/>
      <c r="Z20" s="104"/>
      <c r="AA20" s="104"/>
      <c r="AB20" s="100"/>
      <c r="AC20" s="104"/>
      <c r="AD20" s="104"/>
      <c r="AE20" s="104"/>
      <c r="AF20" s="104"/>
      <c r="AG20" s="104"/>
      <c r="AH20" s="104"/>
      <c r="AI20" s="104"/>
      <c r="AJ20" s="104"/>
      <c r="AK20" s="104"/>
      <c r="AL20" s="104"/>
      <c r="AM20" s="104"/>
      <c r="AN20" s="100"/>
      <c r="AO20" s="104"/>
      <c r="AP20" s="104"/>
      <c r="AQ20" s="104"/>
      <c r="AR20" s="104"/>
      <c r="AS20" s="104"/>
      <c r="AT20" s="104"/>
      <c r="AU20" s="104"/>
      <c r="AV20" s="104"/>
      <c r="AW20" s="104"/>
      <c r="AX20" s="104"/>
      <c r="AY20" s="104"/>
      <c r="AZ20" s="543"/>
    </row>
    <row r="21" spans="1:52" ht="13">
      <c r="A21" s="87" t="s">
        <v>35</v>
      </c>
      <c r="B21" s="90">
        <f t="shared" ref="B21:R21" si="9">(B12-B19)</f>
        <v>0</v>
      </c>
      <c r="C21" s="90">
        <f t="shared" si="9"/>
        <v>0</v>
      </c>
      <c r="D21" s="90">
        <f t="shared" si="9"/>
        <v>0</v>
      </c>
      <c r="E21" s="90">
        <f t="shared" si="9"/>
        <v>0</v>
      </c>
      <c r="F21" s="90">
        <f t="shared" si="9"/>
        <v>0</v>
      </c>
      <c r="G21" s="90">
        <f t="shared" si="9"/>
        <v>0</v>
      </c>
      <c r="H21" s="90">
        <f t="shared" si="9"/>
        <v>0</v>
      </c>
      <c r="I21" s="90">
        <f t="shared" si="9"/>
        <v>0</v>
      </c>
      <c r="J21" s="90">
        <f t="shared" si="9"/>
        <v>0</v>
      </c>
      <c r="K21" s="90">
        <f t="shared" si="9"/>
        <v>0</v>
      </c>
      <c r="L21" s="90">
        <f t="shared" si="9"/>
        <v>0</v>
      </c>
      <c r="M21" s="90">
        <f t="shared" si="9"/>
        <v>0</v>
      </c>
      <c r="N21" s="90">
        <f t="shared" si="9"/>
        <v>0</v>
      </c>
      <c r="O21" s="90">
        <f t="shared" si="9"/>
        <v>0</v>
      </c>
      <c r="P21" s="90">
        <f t="shared" si="9"/>
        <v>0</v>
      </c>
      <c r="Q21" s="90">
        <f t="shared" si="9"/>
        <v>0</v>
      </c>
      <c r="R21" s="90">
        <f t="shared" si="9"/>
        <v>0</v>
      </c>
      <c r="S21" s="90">
        <f t="shared" ref="S21" si="10">(S12-S19)</f>
        <v>0</v>
      </c>
      <c r="T21" s="90">
        <f t="shared" ref="T21:AZ21" si="11">(T12-T19)</f>
        <v>0</v>
      </c>
      <c r="U21" s="90">
        <f t="shared" si="11"/>
        <v>0</v>
      </c>
      <c r="V21" s="90">
        <f t="shared" si="11"/>
        <v>0</v>
      </c>
      <c r="W21" s="90">
        <f t="shared" si="11"/>
        <v>0</v>
      </c>
      <c r="X21" s="90">
        <f t="shared" si="11"/>
        <v>0</v>
      </c>
      <c r="Y21" s="90">
        <f t="shared" si="11"/>
        <v>0</v>
      </c>
      <c r="Z21" s="90">
        <f t="shared" si="11"/>
        <v>0</v>
      </c>
      <c r="AA21" s="90">
        <f t="shared" si="11"/>
        <v>0</v>
      </c>
      <c r="AB21" s="90">
        <f t="shared" si="11"/>
        <v>0</v>
      </c>
      <c r="AC21" s="90">
        <f t="shared" si="11"/>
        <v>0</v>
      </c>
      <c r="AD21" s="90">
        <f t="shared" si="11"/>
        <v>0</v>
      </c>
      <c r="AE21" s="90">
        <f t="shared" si="11"/>
        <v>0</v>
      </c>
      <c r="AF21" s="90">
        <f t="shared" si="11"/>
        <v>0</v>
      </c>
      <c r="AG21" s="90">
        <f t="shared" si="11"/>
        <v>0</v>
      </c>
      <c r="AH21" s="90">
        <f t="shared" si="11"/>
        <v>0</v>
      </c>
      <c r="AI21" s="90">
        <f t="shared" si="11"/>
        <v>0</v>
      </c>
      <c r="AJ21" s="90">
        <f t="shared" si="11"/>
        <v>0</v>
      </c>
      <c r="AK21" s="90">
        <f t="shared" si="11"/>
        <v>0</v>
      </c>
      <c r="AL21" s="90">
        <f t="shared" si="11"/>
        <v>0</v>
      </c>
      <c r="AM21" s="90">
        <f t="shared" si="11"/>
        <v>0</v>
      </c>
      <c r="AN21" s="90">
        <f t="shared" si="11"/>
        <v>0</v>
      </c>
      <c r="AO21" s="90">
        <f t="shared" si="11"/>
        <v>0</v>
      </c>
      <c r="AP21" s="90">
        <f t="shared" si="11"/>
        <v>0</v>
      </c>
      <c r="AQ21" s="90">
        <f t="shared" si="11"/>
        <v>0</v>
      </c>
      <c r="AR21" s="90">
        <f t="shared" si="11"/>
        <v>0</v>
      </c>
      <c r="AS21" s="90">
        <f t="shared" si="11"/>
        <v>0</v>
      </c>
      <c r="AT21" s="90">
        <f t="shared" si="11"/>
        <v>0</v>
      </c>
      <c r="AU21" s="90">
        <f t="shared" si="11"/>
        <v>0</v>
      </c>
      <c r="AV21" s="90">
        <f t="shared" si="11"/>
        <v>0</v>
      </c>
      <c r="AW21" s="90">
        <f t="shared" si="11"/>
        <v>0</v>
      </c>
      <c r="AX21" s="90">
        <f t="shared" si="11"/>
        <v>0</v>
      </c>
      <c r="AY21" s="90">
        <f t="shared" si="11"/>
        <v>0</v>
      </c>
      <c r="AZ21" s="90">
        <f t="shared" si="11"/>
        <v>0</v>
      </c>
    </row>
    <row r="22" spans="1:52" ht="13">
      <c r="A22" s="87" t="s">
        <v>36</v>
      </c>
      <c r="B22" s="92" t="e">
        <f t="shared" ref="B22:R22" si="12">1-(B19/B12)</f>
        <v>#DIV/0!</v>
      </c>
      <c r="C22" s="92" t="e">
        <f t="shared" si="12"/>
        <v>#DIV/0!</v>
      </c>
      <c r="D22" s="92" t="e">
        <f t="shared" si="12"/>
        <v>#DIV/0!</v>
      </c>
      <c r="E22" s="92" t="e">
        <f t="shared" si="12"/>
        <v>#DIV/0!</v>
      </c>
      <c r="F22" s="92" t="e">
        <f t="shared" si="12"/>
        <v>#DIV/0!</v>
      </c>
      <c r="G22" s="92" t="e">
        <f t="shared" si="12"/>
        <v>#DIV/0!</v>
      </c>
      <c r="H22" s="92" t="e">
        <f t="shared" si="12"/>
        <v>#DIV/0!</v>
      </c>
      <c r="I22" s="92" t="e">
        <f t="shared" si="12"/>
        <v>#DIV/0!</v>
      </c>
      <c r="J22" s="92" t="e">
        <f t="shared" si="12"/>
        <v>#DIV/0!</v>
      </c>
      <c r="K22" s="92" t="e">
        <f t="shared" si="12"/>
        <v>#DIV/0!</v>
      </c>
      <c r="L22" s="92" t="e">
        <f t="shared" si="12"/>
        <v>#DIV/0!</v>
      </c>
      <c r="M22" s="92" t="e">
        <f t="shared" si="12"/>
        <v>#DIV/0!</v>
      </c>
      <c r="N22" s="92" t="e">
        <f t="shared" si="12"/>
        <v>#DIV/0!</v>
      </c>
      <c r="O22" s="92" t="e">
        <f t="shared" si="12"/>
        <v>#DIV/0!</v>
      </c>
      <c r="P22" s="92" t="e">
        <f t="shared" si="12"/>
        <v>#DIV/0!</v>
      </c>
      <c r="Q22" s="92" t="e">
        <f t="shared" si="12"/>
        <v>#DIV/0!</v>
      </c>
      <c r="R22" s="92" t="e">
        <f t="shared" si="12"/>
        <v>#DIV/0!</v>
      </c>
      <c r="S22" s="92" t="e">
        <f t="shared" ref="S22" si="13">1-(S19/S12)</f>
        <v>#DIV/0!</v>
      </c>
      <c r="T22" s="92" t="e">
        <f t="shared" ref="T22:AZ22" si="14">1-(T19/T12)</f>
        <v>#DIV/0!</v>
      </c>
      <c r="U22" s="92" t="e">
        <f t="shared" si="14"/>
        <v>#DIV/0!</v>
      </c>
      <c r="V22" s="92" t="e">
        <f t="shared" si="14"/>
        <v>#DIV/0!</v>
      </c>
      <c r="W22" s="92" t="e">
        <f t="shared" si="14"/>
        <v>#DIV/0!</v>
      </c>
      <c r="X22" s="92" t="e">
        <f t="shared" si="14"/>
        <v>#DIV/0!</v>
      </c>
      <c r="Y22" s="92" t="e">
        <f t="shared" si="14"/>
        <v>#DIV/0!</v>
      </c>
      <c r="Z22" s="92" t="e">
        <f t="shared" si="14"/>
        <v>#DIV/0!</v>
      </c>
      <c r="AA22" s="92" t="e">
        <f t="shared" si="14"/>
        <v>#DIV/0!</v>
      </c>
      <c r="AB22" s="92" t="e">
        <f t="shared" si="14"/>
        <v>#DIV/0!</v>
      </c>
      <c r="AC22" s="92" t="e">
        <f t="shared" si="14"/>
        <v>#DIV/0!</v>
      </c>
      <c r="AD22" s="92" t="e">
        <f t="shared" si="14"/>
        <v>#DIV/0!</v>
      </c>
      <c r="AE22" s="92" t="e">
        <f t="shared" si="14"/>
        <v>#DIV/0!</v>
      </c>
      <c r="AF22" s="92" t="e">
        <f t="shared" si="14"/>
        <v>#DIV/0!</v>
      </c>
      <c r="AG22" s="92" t="e">
        <f t="shared" si="14"/>
        <v>#DIV/0!</v>
      </c>
      <c r="AH22" s="92" t="e">
        <f t="shared" si="14"/>
        <v>#DIV/0!</v>
      </c>
      <c r="AI22" s="92" t="e">
        <f t="shared" si="14"/>
        <v>#DIV/0!</v>
      </c>
      <c r="AJ22" s="92" t="e">
        <f t="shared" si="14"/>
        <v>#DIV/0!</v>
      </c>
      <c r="AK22" s="92" t="e">
        <f t="shared" si="14"/>
        <v>#DIV/0!</v>
      </c>
      <c r="AL22" s="92" t="e">
        <f t="shared" si="14"/>
        <v>#DIV/0!</v>
      </c>
      <c r="AM22" s="92" t="e">
        <f t="shared" si="14"/>
        <v>#DIV/0!</v>
      </c>
      <c r="AN22" s="92" t="e">
        <f t="shared" si="14"/>
        <v>#DIV/0!</v>
      </c>
      <c r="AO22" s="92" t="e">
        <f t="shared" si="14"/>
        <v>#DIV/0!</v>
      </c>
      <c r="AP22" s="92" t="e">
        <f t="shared" si="14"/>
        <v>#DIV/0!</v>
      </c>
      <c r="AQ22" s="92" t="e">
        <f t="shared" si="14"/>
        <v>#DIV/0!</v>
      </c>
      <c r="AR22" s="92" t="e">
        <f t="shared" si="14"/>
        <v>#DIV/0!</v>
      </c>
      <c r="AS22" s="92" t="e">
        <f t="shared" si="14"/>
        <v>#DIV/0!</v>
      </c>
      <c r="AT22" s="92" t="e">
        <f t="shared" si="14"/>
        <v>#DIV/0!</v>
      </c>
      <c r="AU22" s="92" t="e">
        <f t="shared" si="14"/>
        <v>#DIV/0!</v>
      </c>
      <c r="AV22" s="92" t="e">
        <f t="shared" si="14"/>
        <v>#DIV/0!</v>
      </c>
      <c r="AW22" s="92" t="e">
        <f t="shared" si="14"/>
        <v>#DIV/0!</v>
      </c>
      <c r="AX22" s="92" t="e">
        <f t="shared" si="14"/>
        <v>#DIV/0!</v>
      </c>
      <c r="AY22" s="92" t="e">
        <f t="shared" si="14"/>
        <v>#DIV/0!</v>
      </c>
      <c r="AZ22" s="92" t="e">
        <f t="shared" si="14"/>
        <v>#DIV/0!</v>
      </c>
    </row>
    <row r="23" spans="1:52" ht="13">
      <c r="A23" s="87"/>
      <c r="B23" s="107"/>
      <c r="C23" s="108"/>
      <c r="D23" s="108"/>
      <c r="E23" s="108"/>
      <c r="F23" s="108"/>
      <c r="G23" s="108"/>
      <c r="H23" s="108"/>
      <c r="I23" s="108"/>
      <c r="J23" s="108"/>
      <c r="K23" s="108"/>
      <c r="L23" s="108"/>
      <c r="M23" s="108"/>
      <c r="N23" s="108"/>
      <c r="O23" s="108"/>
      <c r="P23" s="108"/>
      <c r="Q23" s="108"/>
      <c r="R23" s="108"/>
      <c r="S23" s="108"/>
      <c r="T23" s="468"/>
      <c r="U23" s="468"/>
      <c r="V23" s="468"/>
      <c r="W23" s="468"/>
      <c r="X23" s="468"/>
      <c r="Y23" s="468"/>
      <c r="Z23" s="468"/>
      <c r="AA23" s="468"/>
      <c r="AB23" s="466"/>
      <c r="AC23" s="468"/>
      <c r="AD23" s="468"/>
      <c r="AE23" s="468"/>
      <c r="AF23" s="468"/>
      <c r="AG23" s="468"/>
      <c r="AH23" s="468"/>
      <c r="AI23" s="468"/>
      <c r="AJ23" s="468"/>
      <c r="AK23" s="468"/>
      <c r="AL23" s="468"/>
      <c r="AM23" s="468"/>
      <c r="AN23" s="466"/>
      <c r="AO23" s="468"/>
      <c r="AP23" s="468"/>
      <c r="AQ23" s="468"/>
      <c r="AR23" s="468"/>
      <c r="AS23" s="468"/>
      <c r="AT23" s="468"/>
      <c r="AU23" s="468"/>
      <c r="AV23" s="468"/>
      <c r="AW23" s="468"/>
      <c r="AX23" s="468"/>
      <c r="AY23" s="468"/>
      <c r="AZ23" s="544"/>
    </row>
    <row r="24" spans="1:52" ht="13">
      <c r="A24" s="85" t="s">
        <v>37</v>
      </c>
      <c r="B24" s="114"/>
      <c r="C24" s="88"/>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c r="AN24" s="88"/>
      <c r="AO24" s="88"/>
      <c r="AP24" s="88"/>
      <c r="AQ24" s="88"/>
      <c r="AR24" s="88"/>
      <c r="AS24" s="88"/>
      <c r="AT24" s="88"/>
      <c r="AU24" s="88"/>
      <c r="AV24" s="88"/>
      <c r="AW24" s="88"/>
      <c r="AX24" s="88"/>
      <c r="AY24" s="88"/>
      <c r="AZ24" s="539"/>
    </row>
    <row r="25" spans="1:52" ht="13">
      <c r="A25" s="93"/>
      <c r="B25" s="107"/>
      <c r="C25" s="108"/>
      <c r="D25" s="108"/>
      <c r="E25" s="108"/>
      <c r="F25" s="108"/>
      <c r="G25" s="108"/>
      <c r="H25" s="108"/>
      <c r="I25" s="108"/>
      <c r="J25" s="108"/>
      <c r="K25" s="108"/>
      <c r="L25" s="108"/>
      <c r="M25" s="108"/>
      <c r="N25" s="108"/>
      <c r="O25" s="108"/>
      <c r="P25" s="108"/>
      <c r="Q25" s="108"/>
      <c r="R25" s="108"/>
      <c r="S25" s="108"/>
      <c r="T25" s="104"/>
      <c r="U25" s="104"/>
      <c r="V25" s="104"/>
      <c r="W25" s="104"/>
      <c r="X25" s="104"/>
      <c r="Y25" s="104"/>
      <c r="Z25" s="104"/>
      <c r="AA25" s="104"/>
      <c r="AB25" s="100"/>
      <c r="AC25" s="104"/>
      <c r="AD25" s="104"/>
      <c r="AE25" s="104"/>
      <c r="AF25" s="104"/>
      <c r="AG25" s="104"/>
      <c r="AH25" s="104"/>
      <c r="AI25" s="104"/>
      <c r="AJ25" s="104"/>
      <c r="AK25" s="104"/>
      <c r="AL25" s="104"/>
      <c r="AM25" s="104"/>
      <c r="AN25" s="100"/>
      <c r="AO25" s="104"/>
      <c r="AP25" s="104"/>
      <c r="AQ25" s="104"/>
      <c r="AR25" s="104"/>
      <c r="AS25" s="104"/>
      <c r="AT25" s="104"/>
      <c r="AU25" s="104"/>
      <c r="AV25" s="104"/>
      <c r="AW25" s="104"/>
      <c r="AX25" s="104"/>
      <c r="AY25" s="104"/>
      <c r="AZ25" s="543"/>
    </row>
    <row r="26" spans="1:52" ht="13">
      <c r="A26" s="93" t="s">
        <v>38</v>
      </c>
      <c r="B26" s="92" t="e">
        <f t="shared" ref="B26:R26" si="15">B24/B12</f>
        <v>#DIV/0!</v>
      </c>
      <c r="C26" s="92" t="e">
        <f t="shared" si="15"/>
        <v>#DIV/0!</v>
      </c>
      <c r="D26" s="92" t="e">
        <f t="shared" si="15"/>
        <v>#DIV/0!</v>
      </c>
      <c r="E26" s="92" t="e">
        <f t="shared" si="15"/>
        <v>#DIV/0!</v>
      </c>
      <c r="F26" s="92" t="e">
        <f t="shared" si="15"/>
        <v>#DIV/0!</v>
      </c>
      <c r="G26" s="92" t="e">
        <f t="shared" si="15"/>
        <v>#DIV/0!</v>
      </c>
      <c r="H26" s="92" t="e">
        <f t="shared" si="15"/>
        <v>#DIV/0!</v>
      </c>
      <c r="I26" s="92" t="e">
        <f t="shared" si="15"/>
        <v>#DIV/0!</v>
      </c>
      <c r="J26" s="92" t="e">
        <f t="shared" si="15"/>
        <v>#DIV/0!</v>
      </c>
      <c r="K26" s="92" t="e">
        <f t="shared" si="15"/>
        <v>#DIV/0!</v>
      </c>
      <c r="L26" s="92" t="e">
        <f t="shared" si="15"/>
        <v>#DIV/0!</v>
      </c>
      <c r="M26" s="92" t="e">
        <f t="shared" si="15"/>
        <v>#DIV/0!</v>
      </c>
      <c r="N26" s="92" t="e">
        <f t="shared" si="15"/>
        <v>#DIV/0!</v>
      </c>
      <c r="O26" s="92" t="e">
        <f t="shared" si="15"/>
        <v>#DIV/0!</v>
      </c>
      <c r="P26" s="92" t="e">
        <f t="shared" si="15"/>
        <v>#DIV/0!</v>
      </c>
      <c r="Q26" s="92" t="e">
        <f t="shared" si="15"/>
        <v>#DIV/0!</v>
      </c>
      <c r="R26" s="92" t="e">
        <f t="shared" si="15"/>
        <v>#DIV/0!</v>
      </c>
      <c r="S26" s="92" t="e">
        <f t="shared" ref="S26:AZ26" si="16">S24/S12</f>
        <v>#DIV/0!</v>
      </c>
      <c r="T26" s="92" t="e">
        <f t="shared" si="16"/>
        <v>#DIV/0!</v>
      </c>
      <c r="U26" s="92" t="e">
        <f t="shared" si="16"/>
        <v>#DIV/0!</v>
      </c>
      <c r="V26" s="92" t="e">
        <f t="shared" si="16"/>
        <v>#DIV/0!</v>
      </c>
      <c r="W26" s="92" t="e">
        <f t="shared" si="16"/>
        <v>#DIV/0!</v>
      </c>
      <c r="X26" s="92" t="e">
        <f t="shared" si="16"/>
        <v>#DIV/0!</v>
      </c>
      <c r="Y26" s="92" t="e">
        <f t="shared" si="16"/>
        <v>#DIV/0!</v>
      </c>
      <c r="Z26" s="92" t="e">
        <f t="shared" si="16"/>
        <v>#DIV/0!</v>
      </c>
      <c r="AA26" s="92" t="e">
        <f t="shared" si="16"/>
        <v>#DIV/0!</v>
      </c>
      <c r="AB26" s="92" t="e">
        <f t="shared" si="16"/>
        <v>#DIV/0!</v>
      </c>
      <c r="AC26" s="92" t="e">
        <f t="shared" si="16"/>
        <v>#DIV/0!</v>
      </c>
      <c r="AD26" s="92" t="e">
        <f t="shared" si="16"/>
        <v>#DIV/0!</v>
      </c>
      <c r="AE26" s="92" t="e">
        <f t="shared" si="16"/>
        <v>#DIV/0!</v>
      </c>
      <c r="AF26" s="92" t="e">
        <f t="shared" si="16"/>
        <v>#DIV/0!</v>
      </c>
      <c r="AG26" s="92" t="e">
        <f t="shared" si="16"/>
        <v>#DIV/0!</v>
      </c>
      <c r="AH26" s="92" t="e">
        <f t="shared" si="16"/>
        <v>#DIV/0!</v>
      </c>
      <c r="AI26" s="92" t="e">
        <f t="shared" si="16"/>
        <v>#DIV/0!</v>
      </c>
      <c r="AJ26" s="92" t="e">
        <f t="shared" si="16"/>
        <v>#DIV/0!</v>
      </c>
      <c r="AK26" s="92" t="e">
        <f t="shared" si="16"/>
        <v>#DIV/0!</v>
      </c>
      <c r="AL26" s="92" t="e">
        <f t="shared" si="16"/>
        <v>#DIV/0!</v>
      </c>
      <c r="AM26" s="92" t="e">
        <f t="shared" si="16"/>
        <v>#DIV/0!</v>
      </c>
      <c r="AN26" s="92" t="e">
        <f t="shared" si="16"/>
        <v>#DIV/0!</v>
      </c>
      <c r="AO26" s="92" t="e">
        <f t="shared" si="16"/>
        <v>#DIV/0!</v>
      </c>
      <c r="AP26" s="92" t="e">
        <f t="shared" si="16"/>
        <v>#DIV/0!</v>
      </c>
      <c r="AQ26" s="92" t="e">
        <f t="shared" si="16"/>
        <v>#DIV/0!</v>
      </c>
      <c r="AR26" s="92" t="e">
        <f t="shared" si="16"/>
        <v>#DIV/0!</v>
      </c>
      <c r="AS26" s="92" t="e">
        <f t="shared" si="16"/>
        <v>#DIV/0!</v>
      </c>
      <c r="AT26" s="92" t="e">
        <f t="shared" si="16"/>
        <v>#DIV/0!</v>
      </c>
      <c r="AU26" s="92" t="e">
        <f t="shared" si="16"/>
        <v>#DIV/0!</v>
      </c>
      <c r="AV26" s="92" t="e">
        <f t="shared" si="16"/>
        <v>#DIV/0!</v>
      </c>
      <c r="AW26" s="92" t="e">
        <f t="shared" si="16"/>
        <v>#DIV/0!</v>
      </c>
      <c r="AX26" s="92" t="e">
        <f t="shared" si="16"/>
        <v>#DIV/0!</v>
      </c>
      <c r="AY26" s="92" t="e">
        <f t="shared" si="16"/>
        <v>#DIV/0!</v>
      </c>
      <c r="AZ26" s="92" t="e">
        <f t="shared" si="16"/>
        <v>#DIV/0!</v>
      </c>
    </row>
    <row r="27" spans="1:52" ht="13">
      <c r="A27" s="93"/>
      <c r="B27" s="545"/>
      <c r="C27" s="257"/>
      <c r="D27" s="257"/>
      <c r="E27" s="257"/>
      <c r="F27" s="257"/>
      <c r="G27" s="257"/>
      <c r="H27" s="257"/>
      <c r="I27" s="257"/>
      <c r="J27" s="257"/>
      <c r="K27" s="257"/>
      <c r="L27" s="257"/>
      <c r="M27" s="257"/>
      <c r="N27" s="257"/>
      <c r="O27" s="257"/>
      <c r="P27" s="257"/>
      <c r="Q27" s="257"/>
      <c r="R27" s="257"/>
      <c r="S27" s="257"/>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94"/>
      <c r="AS27" s="94"/>
      <c r="AT27" s="94"/>
      <c r="AU27" s="94"/>
      <c r="AV27" s="94"/>
      <c r="AW27" s="94"/>
      <c r="AX27" s="94"/>
      <c r="AY27" s="94"/>
      <c r="AZ27" s="546"/>
    </row>
    <row r="28" spans="1:52" ht="13">
      <c r="A28" s="93" t="s">
        <v>39</v>
      </c>
      <c r="B28" s="90">
        <f t="shared" ref="B28:R28" si="17">B12-B19-B24</f>
        <v>0</v>
      </c>
      <c r="C28" s="90">
        <f t="shared" si="17"/>
        <v>0</v>
      </c>
      <c r="D28" s="90">
        <f t="shared" si="17"/>
        <v>0</v>
      </c>
      <c r="E28" s="90">
        <f t="shared" si="17"/>
        <v>0</v>
      </c>
      <c r="F28" s="90">
        <f t="shared" si="17"/>
        <v>0</v>
      </c>
      <c r="G28" s="90">
        <f t="shared" si="17"/>
        <v>0</v>
      </c>
      <c r="H28" s="90">
        <f t="shared" si="17"/>
        <v>0</v>
      </c>
      <c r="I28" s="90">
        <f t="shared" si="17"/>
        <v>0</v>
      </c>
      <c r="J28" s="90">
        <f t="shared" si="17"/>
        <v>0</v>
      </c>
      <c r="K28" s="90">
        <f t="shared" si="17"/>
        <v>0</v>
      </c>
      <c r="L28" s="90">
        <f t="shared" si="17"/>
        <v>0</v>
      </c>
      <c r="M28" s="90">
        <f t="shared" si="17"/>
        <v>0</v>
      </c>
      <c r="N28" s="90">
        <f t="shared" si="17"/>
        <v>0</v>
      </c>
      <c r="O28" s="90">
        <f t="shared" si="17"/>
        <v>0</v>
      </c>
      <c r="P28" s="90">
        <f t="shared" si="17"/>
        <v>0</v>
      </c>
      <c r="Q28" s="90">
        <f t="shared" si="17"/>
        <v>0</v>
      </c>
      <c r="R28" s="90">
        <f t="shared" si="17"/>
        <v>0</v>
      </c>
      <c r="S28" s="90">
        <f t="shared" ref="S28" si="18">S12-S19-S24</f>
        <v>0</v>
      </c>
      <c r="T28" s="90">
        <f t="shared" ref="T28:AZ28" si="19">T12-T19-T24</f>
        <v>0</v>
      </c>
      <c r="U28" s="90">
        <f t="shared" si="19"/>
        <v>0</v>
      </c>
      <c r="V28" s="90">
        <f t="shared" si="19"/>
        <v>0</v>
      </c>
      <c r="W28" s="90">
        <f t="shared" si="19"/>
        <v>0</v>
      </c>
      <c r="X28" s="90">
        <f t="shared" si="19"/>
        <v>0</v>
      </c>
      <c r="Y28" s="90">
        <f t="shared" si="19"/>
        <v>0</v>
      </c>
      <c r="Z28" s="90">
        <f t="shared" si="19"/>
        <v>0</v>
      </c>
      <c r="AA28" s="90">
        <f t="shared" si="19"/>
        <v>0</v>
      </c>
      <c r="AB28" s="90">
        <f t="shared" si="19"/>
        <v>0</v>
      </c>
      <c r="AC28" s="90">
        <f t="shared" si="19"/>
        <v>0</v>
      </c>
      <c r="AD28" s="90">
        <f t="shared" si="19"/>
        <v>0</v>
      </c>
      <c r="AE28" s="90">
        <f t="shared" si="19"/>
        <v>0</v>
      </c>
      <c r="AF28" s="90">
        <f t="shared" si="19"/>
        <v>0</v>
      </c>
      <c r="AG28" s="90">
        <f t="shared" si="19"/>
        <v>0</v>
      </c>
      <c r="AH28" s="90">
        <f t="shared" si="19"/>
        <v>0</v>
      </c>
      <c r="AI28" s="90">
        <f t="shared" si="19"/>
        <v>0</v>
      </c>
      <c r="AJ28" s="90">
        <f t="shared" si="19"/>
        <v>0</v>
      </c>
      <c r="AK28" s="90">
        <f t="shared" si="19"/>
        <v>0</v>
      </c>
      <c r="AL28" s="90">
        <f t="shared" si="19"/>
        <v>0</v>
      </c>
      <c r="AM28" s="90">
        <f t="shared" si="19"/>
        <v>0</v>
      </c>
      <c r="AN28" s="90">
        <f t="shared" si="19"/>
        <v>0</v>
      </c>
      <c r="AO28" s="90">
        <f t="shared" si="19"/>
        <v>0</v>
      </c>
      <c r="AP28" s="90">
        <f t="shared" si="19"/>
        <v>0</v>
      </c>
      <c r="AQ28" s="90">
        <f t="shared" si="19"/>
        <v>0</v>
      </c>
      <c r="AR28" s="90">
        <f t="shared" si="19"/>
        <v>0</v>
      </c>
      <c r="AS28" s="90">
        <f t="shared" si="19"/>
        <v>0</v>
      </c>
      <c r="AT28" s="90">
        <f t="shared" si="19"/>
        <v>0</v>
      </c>
      <c r="AU28" s="90">
        <f t="shared" si="19"/>
        <v>0</v>
      </c>
      <c r="AV28" s="90">
        <f t="shared" si="19"/>
        <v>0</v>
      </c>
      <c r="AW28" s="90">
        <f t="shared" si="19"/>
        <v>0</v>
      </c>
      <c r="AX28" s="90">
        <f t="shared" si="19"/>
        <v>0</v>
      </c>
      <c r="AY28" s="90">
        <f t="shared" si="19"/>
        <v>0</v>
      </c>
      <c r="AZ28" s="90">
        <f t="shared" si="19"/>
        <v>0</v>
      </c>
    </row>
    <row r="29" spans="1:52" ht="13">
      <c r="A29" s="93" t="s">
        <v>40</v>
      </c>
      <c r="B29" s="92" t="e">
        <f t="shared" ref="B29:R29" si="20">1-((B19+B24)/B12)</f>
        <v>#DIV/0!</v>
      </c>
      <c r="C29" s="92" t="e">
        <f t="shared" si="20"/>
        <v>#DIV/0!</v>
      </c>
      <c r="D29" s="92" t="e">
        <f t="shared" si="20"/>
        <v>#DIV/0!</v>
      </c>
      <c r="E29" s="92" t="e">
        <f t="shared" si="20"/>
        <v>#DIV/0!</v>
      </c>
      <c r="F29" s="92" t="e">
        <f t="shared" si="20"/>
        <v>#DIV/0!</v>
      </c>
      <c r="G29" s="92" t="e">
        <f t="shared" si="20"/>
        <v>#DIV/0!</v>
      </c>
      <c r="H29" s="92" t="e">
        <f t="shared" si="20"/>
        <v>#DIV/0!</v>
      </c>
      <c r="I29" s="92" t="e">
        <f t="shared" si="20"/>
        <v>#DIV/0!</v>
      </c>
      <c r="J29" s="92" t="e">
        <f t="shared" si="20"/>
        <v>#DIV/0!</v>
      </c>
      <c r="K29" s="92" t="e">
        <f t="shared" si="20"/>
        <v>#DIV/0!</v>
      </c>
      <c r="L29" s="92" t="e">
        <f t="shared" si="20"/>
        <v>#DIV/0!</v>
      </c>
      <c r="M29" s="92" t="e">
        <f t="shared" si="20"/>
        <v>#DIV/0!</v>
      </c>
      <c r="N29" s="92" t="e">
        <f t="shared" si="20"/>
        <v>#DIV/0!</v>
      </c>
      <c r="O29" s="92" t="e">
        <f t="shared" si="20"/>
        <v>#DIV/0!</v>
      </c>
      <c r="P29" s="92" t="e">
        <f t="shared" si="20"/>
        <v>#DIV/0!</v>
      </c>
      <c r="Q29" s="92" t="e">
        <f t="shared" si="20"/>
        <v>#DIV/0!</v>
      </c>
      <c r="R29" s="92" t="e">
        <f t="shared" si="20"/>
        <v>#DIV/0!</v>
      </c>
      <c r="S29" s="92" t="e">
        <f t="shared" ref="S29" si="21">1-((S19+S24)/S12)</f>
        <v>#DIV/0!</v>
      </c>
      <c r="T29" s="92" t="e">
        <f t="shared" ref="T29:AZ29" si="22">1-((T19+T24)/T12)</f>
        <v>#DIV/0!</v>
      </c>
      <c r="U29" s="92" t="e">
        <f t="shared" si="22"/>
        <v>#DIV/0!</v>
      </c>
      <c r="V29" s="92" t="e">
        <f t="shared" si="22"/>
        <v>#DIV/0!</v>
      </c>
      <c r="W29" s="92" t="e">
        <f t="shared" si="22"/>
        <v>#DIV/0!</v>
      </c>
      <c r="X29" s="92" t="e">
        <f t="shared" si="22"/>
        <v>#DIV/0!</v>
      </c>
      <c r="Y29" s="92" t="e">
        <f t="shared" si="22"/>
        <v>#DIV/0!</v>
      </c>
      <c r="Z29" s="92" t="e">
        <f t="shared" si="22"/>
        <v>#DIV/0!</v>
      </c>
      <c r="AA29" s="92" t="e">
        <f t="shared" si="22"/>
        <v>#DIV/0!</v>
      </c>
      <c r="AB29" s="92" t="e">
        <f t="shared" si="22"/>
        <v>#DIV/0!</v>
      </c>
      <c r="AC29" s="92" t="e">
        <f t="shared" si="22"/>
        <v>#DIV/0!</v>
      </c>
      <c r="AD29" s="92" t="e">
        <f t="shared" si="22"/>
        <v>#DIV/0!</v>
      </c>
      <c r="AE29" s="92" t="e">
        <f t="shared" si="22"/>
        <v>#DIV/0!</v>
      </c>
      <c r="AF29" s="92" t="e">
        <f t="shared" si="22"/>
        <v>#DIV/0!</v>
      </c>
      <c r="AG29" s="92" t="e">
        <f t="shared" si="22"/>
        <v>#DIV/0!</v>
      </c>
      <c r="AH29" s="92" t="e">
        <f t="shared" si="22"/>
        <v>#DIV/0!</v>
      </c>
      <c r="AI29" s="92" t="e">
        <f t="shared" si="22"/>
        <v>#DIV/0!</v>
      </c>
      <c r="AJ29" s="92" t="e">
        <f t="shared" si="22"/>
        <v>#DIV/0!</v>
      </c>
      <c r="AK29" s="92" t="e">
        <f t="shared" si="22"/>
        <v>#DIV/0!</v>
      </c>
      <c r="AL29" s="92" t="e">
        <f t="shared" si="22"/>
        <v>#DIV/0!</v>
      </c>
      <c r="AM29" s="92" t="e">
        <f t="shared" si="22"/>
        <v>#DIV/0!</v>
      </c>
      <c r="AN29" s="92" t="e">
        <f t="shared" si="22"/>
        <v>#DIV/0!</v>
      </c>
      <c r="AO29" s="92" t="e">
        <f t="shared" si="22"/>
        <v>#DIV/0!</v>
      </c>
      <c r="AP29" s="92" t="e">
        <f t="shared" si="22"/>
        <v>#DIV/0!</v>
      </c>
      <c r="AQ29" s="92" t="e">
        <f t="shared" si="22"/>
        <v>#DIV/0!</v>
      </c>
      <c r="AR29" s="92" t="e">
        <f t="shared" si="22"/>
        <v>#DIV/0!</v>
      </c>
      <c r="AS29" s="92" t="e">
        <f t="shared" si="22"/>
        <v>#DIV/0!</v>
      </c>
      <c r="AT29" s="92" t="e">
        <f t="shared" si="22"/>
        <v>#DIV/0!</v>
      </c>
      <c r="AU29" s="92" t="e">
        <f t="shared" si="22"/>
        <v>#DIV/0!</v>
      </c>
      <c r="AV29" s="92" t="e">
        <f t="shared" si="22"/>
        <v>#DIV/0!</v>
      </c>
      <c r="AW29" s="92" t="e">
        <f t="shared" si="22"/>
        <v>#DIV/0!</v>
      </c>
      <c r="AX29" s="92" t="e">
        <f t="shared" si="22"/>
        <v>#DIV/0!</v>
      </c>
      <c r="AY29" s="92" t="e">
        <f t="shared" si="22"/>
        <v>#DIV/0!</v>
      </c>
      <c r="AZ29" s="92" t="e">
        <f t="shared" si="22"/>
        <v>#DIV/0!</v>
      </c>
    </row>
    <row r="30" spans="1:52" ht="13">
      <c r="A30" s="93"/>
      <c r="B30" s="258"/>
      <c r="C30" s="259"/>
      <c r="D30" s="259"/>
      <c r="E30" s="259"/>
      <c r="F30" s="259"/>
      <c r="G30" s="259"/>
      <c r="H30" s="259"/>
      <c r="I30" s="259"/>
      <c r="J30" s="259"/>
      <c r="K30" s="259"/>
      <c r="L30" s="259"/>
      <c r="M30" s="259"/>
      <c r="N30" s="259"/>
      <c r="O30" s="259"/>
      <c r="P30" s="259"/>
      <c r="Q30" s="259"/>
      <c r="R30" s="259"/>
      <c r="S30" s="259"/>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94"/>
      <c r="AS30" s="94"/>
      <c r="AT30" s="94"/>
      <c r="AU30" s="94"/>
      <c r="AV30" s="94"/>
      <c r="AW30" s="94"/>
      <c r="AX30" s="94"/>
      <c r="AY30" s="94"/>
      <c r="AZ30" s="546"/>
    </row>
    <row r="31" spans="1:52" ht="13">
      <c r="A31" s="105" t="s">
        <v>41</v>
      </c>
      <c r="B31" s="105"/>
      <c r="C31" s="91"/>
      <c r="D31" s="91"/>
      <c r="E31" s="91"/>
      <c r="F31" s="91"/>
      <c r="G31" s="91"/>
      <c r="H31" s="91"/>
      <c r="I31" s="91"/>
      <c r="J31" s="91"/>
      <c r="K31" s="91"/>
      <c r="L31" s="91"/>
      <c r="M31" s="91"/>
      <c r="N31" s="91"/>
      <c r="O31" s="91"/>
      <c r="P31" s="91"/>
      <c r="Q31" s="91"/>
      <c r="R31" s="91"/>
      <c r="S31" s="468"/>
      <c r="T31" s="468"/>
      <c r="U31" s="468"/>
      <c r="V31" s="468"/>
      <c r="W31" s="468"/>
      <c r="X31" s="468"/>
      <c r="Y31" s="468"/>
      <c r="Z31" s="468"/>
      <c r="AA31" s="468"/>
      <c r="AB31" s="466"/>
      <c r="AC31" s="468"/>
      <c r="AD31" s="468"/>
      <c r="AE31" s="468"/>
      <c r="AF31" s="468"/>
      <c r="AG31" s="468"/>
      <c r="AH31" s="468"/>
      <c r="AI31" s="468"/>
      <c r="AJ31" s="468"/>
      <c r="AK31" s="468"/>
      <c r="AL31" s="468"/>
      <c r="AM31" s="468"/>
      <c r="AN31" s="466"/>
      <c r="AO31" s="468"/>
      <c r="AP31" s="468"/>
      <c r="AQ31" s="468"/>
      <c r="AR31" s="468"/>
      <c r="AS31" s="468"/>
      <c r="AT31" s="468"/>
      <c r="AU31" s="468"/>
      <c r="AV31" s="468"/>
      <c r="AW31" s="468"/>
      <c r="AX31" s="468"/>
      <c r="AY31" s="468"/>
      <c r="AZ31" s="544"/>
    </row>
    <row r="32" spans="1:52" ht="13">
      <c r="A32" s="85" t="s">
        <v>42</v>
      </c>
      <c r="B32" s="102"/>
      <c r="C32" s="86"/>
      <c r="D32" s="86"/>
      <c r="E32" s="86"/>
      <c r="F32" s="86"/>
      <c r="G32" s="86"/>
      <c r="H32" s="86"/>
      <c r="I32" s="86"/>
      <c r="J32" s="86"/>
      <c r="K32" s="86"/>
      <c r="L32" s="86"/>
      <c r="M32" s="86"/>
      <c r="N32" s="86"/>
      <c r="O32" s="86"/>
      <c r="P32" s="86"/>
      <c r="Q32" s="86"/>
      <c r="R32" s="86"/>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539"/>
    </row>
    <row r="33" spans="1:52" ht="13">
      <c r="A33" s="85" t="s">
        <v>43</v>
      </c>
      <c r="B33" s="102"/>
      <c r="C33" s="86"/>
      <c r="D33" s="86"/>
      <c r="E33" s="86"/>
      <c r="F33" s="86"/>
      <c r="G33" s="86"/>
      <c r="H33" s="86"/>
      <c r="I33" s="86"/>
      <c r="J33" s="86"/>
      <c r="K33" s="86"/>
      <c r="L33" s="86"/>
      <c r="M33" s="86"/>
      <c r="N33" s="86"/>
      <c r="O33" s="86"/>
      <c r="P33" s="86"/>
      <c r="Q33" s="86"/>
      <c r="R33" s="86"/>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539"/>
    </row>
    <row r="34" spans="1:52" ht="13">
      <c r="A34" s="85" t="s">
        <v>44</v>
      </c>
      <c r="B34" s="102"/>
      <c r="C34" s="86"/>
      <c r="D34" s="86"/>
      <c r="E34" s="86"/>
      <c r="F34" s="86"/>
      <c r="G34" s="86"/>
      <c r="H34" s="86"/>
      <c r="I34" s="86"/>
      <c r="J34" s="86"/>
      <c r="K34" s="86"/>
      <c r="L34" s="86"/>
      <c r="M34" s="86"/>
      <c r="N34" s="86"/>
      <c r="O34" s="86"/>
      <c r="P34" s="86"/>
      <c r="Q34" s="86"/>
      <c r="R34" s="86"/>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539"/>
    </row>
    <row r="35" spans="1:52" ht="13">
      <c r="A35" s="87"/>
      <c r="B35" s="93"/>
      <c r="C35" s="260"/>
      <c r="D35" s="260"/>
      <c r="E35" s="260"/>
      <c r="F35" s="260"/>
      <c r="G35" s="260"/>
      <c r="H35" s="260"/>
      <c r="I35" s="260"/>
      <c r="J35" s="260"/>
      <c r="K35" s="260"/>
      <c r="L35" s="260"/>
      <c r="M35" s="260"/>
      <c r="N35" s="260"/>
      <c r="O35" s="260"/>
      <c r="P35" s="260"/>
      <c r="Q35" s="260"/>
      <c r="R35" s="260"/>
      <c r="S35" s="104"/>
      <c r="T35" s="104"/>
      <c r="U35" s="104"/>
      <c r="V35" s="104"/>
      <c r="W35" s="104"/>
      <c r="X35" s="104"/>
      <c r="Y35" s="104"/>
      <c r="Z35" s="104"/>
      <c r="AA35" s="104"/>
      <c r="AB35" s="100"/>
      <c r="AC35" s="104"/>
      <c r="AD35" s="104"/>
      <c r="AE35" s="104"/>
      <c r="AF35" s="104"/>
      <c r="AG35" s="104"/>
      <c r="AH35" s="104"/>
      <c r="AI35" s="104"/>
      <c r="AJ35" s="104"/>
      <c r="AK35" s="104"/>
      <c r="AL35" s="104"/>
      <c r="AM35" s="104"/>
      <c r="AN35" s="100"/>
      <c r="AO35" s="104"/>
      <c r="AP35" s="104"/>
      <c r="AQ35" s="104"/>
      <c r="AR35" s="104"/>
      <c r="AS35" s="104"/>
      <c r="AT35" s="104"/>
      <c r="AU35" s="104"/>
      <c r="AV35" s="104"/>
      <c r="AW35" s="104"/>
      <c r="AX35" s="104"/>
      <c r="AY35" s="104"/>
      <c r="AZ35" s="543"/>
    </row>
    <row r="36" spans="1:52" ht="13">
      <c r="A36" s="87" t="s">
        <v>35</v>
      </c>
      <c r="B36" s="93"/>
      <c r="C36" s="260"/>
      <c r="D36" s="260"/>
      <c r="E36" s="260"/>
      <c r="F36" s="260"/>
      <c r="G36" s="260"/>
      <c r="H36" s="260"/>
      <c r="I36" s="260"/>
      <c r="J36" s="260"/>
      <c r="K36" s="260"/>
      <c r="L36" s="260"/>
      <c r="M36" s="260"/>
      <c r="N36" s="260"/>
      <c r="O36" s="260"/>
      <c r="P36" s="260"/>
      <c r="Q36" s="260"/>
      <c r="R36" s="261"/>
      <c r="S36" s="90">
        <f>S33-S34</f>
        <v>0</v>
      </c>
      <c r="T36" s="90">
        <f t="shared" ref="T36:AZ36" si="23">T33-T34</f>
        <v>0</v>
      </c>
      <c r="U36" s="90">
        <f t="shared" si="23"/>
        <v>0</v>
      </c>
      <c r="V36" s="90">
        <f t="shared" si="23"/>
        <v>0</v>
      </c>
      <c r="W36" s="90">
        <f t="shared" si="23"/>
        <v>0</v>
      </c>
      <c r="X36" s="90">
        <f t="shared" si="23"/>
        <v>0</v>
      </c>
      <c r="Y36" s="90">
        <f t="shared" si="23"/>
        <v>0</v>
      </c>
      <c r="Z36" s="90">
        <f t="shared" si="23"/>
        <v>0</v>
      </c>
      <c r="AA36" s="90">
        <f t="shared" si="23"/>
        <v>0</v>
      </c>
      <c r="AB36" s="90">
        <f t="shared" si="23"/>
        <v>0</v>
      </c>
      <c r="AC36" s="90">
        <f t="shared" si="23"/>
        <v>0</v>
      </c>
      <c r="AD36" s="90">
        <f t="shared" si="23"/>
        <v>0</v>
      </c>
      <c r="AE36" s="90">
        <f t="shared" si="23"/>
        <v>0</v>
      </c>
      <c r="AF36" s="90">
        <f t="shared" si="23"/>
        <v>0</v>
      </c>
      <c r="AG36" s="90">
        <f t="shared" si="23"/>
        <v>0</v>
      </c>
      <c r="AH36" s="90">
        <f t="shared" si="23"/>
        <v>0</v>
      </c>
      <c r="AI36" s="90">
        <f t="shared" si="23"/>
        <v>0</v>
      </c>
      <c r="AJ36" s="90">
        <f t="shared" si="23"/>
        <v>0</v>
      </c>
      <c r="AK36" s="90">
        <f t="shared" si="23"/>
        <v>0</v>
      </c>
      <c r="AL36" s="90">
        <f t="shared" si="23"/>
        <v>0</v>
      </c>
      <c r="AM36" s="90">
        <f t="shared" si="23"/>
        <v>0</v>
      </c>
      <c r="AN36" s="90">
        <f t="shared" si="23"/>
        <v>0</v>
      </c>
      <c r="AO36" s="90">
        <f t="shared" si="23"/>
        <v>0</v>
      </c>
      <c r="AP36" s="90">
        <f t="shared" si="23"/>
        <v>0</v>
      </c>
      <c r="AQ36" s="90">
        <f t="shared" si="23"/>
        <v>0</v>
      </c>
      <c r="AR36" s="90">
        <f t="shared" si="23"/>
        <v>0</v>
      </c>
      <c r="AS36" s="90">
        <f t="shared" si="23"/>
        <v>0</v>
      </c>
      <c r="AT36" s="90">
        <f t="shared" si="23"/>
        <v>0</v>
      </c>
      <c r="AU36" s="90">
        <f t="shared" si="23"/>
        <v>0</v>
      </c>
      <c r="AV36" s="90">
        <f t="shared" si="23"/>
        <v>0</v>
      </c>
      <c r="AW36" s="90">
        <f t="shared" si="23"/>
        <v>0</v>
      </c>
      <c r="AX36" s="90">
        <f t="shared" si="23"/>
        <v>0</v>
      </c>
      <c r="AY36" s="90">
        <f t="shared" si="23"/>
        <v>0</v>
      </c>
      <c r="AZ36" s="90">
        <f t="shared" si="23"/>
        <v>0</v>
      </c>
    </row>
    <row r="37" spans="1:52" ht="13">
      <c r="A37" s="87" t="s">
        <v>36</v>
      </c>
      <c r="B37" s="93"/>
      <c r="C37" s="260"/>
      <c r="D37" s="260"/>
      <c r="E37" s="260"/>
      <c r="F37" s="260"/>
      <c r="G37" s="260"/>
      <c r="H37" s="260"/>
      <c r="I37" s="260"/>
      <c r="J37" s="260"/>
      <c r="K37" s="260"/>
      <c r="L37" s="260"/>
      <c r="M37" s="260"/>
      <c r="N37" s="260"/>
      <c r="O37" s="260"/>
      <c r="P37" s="260"/>
      <c r="Q37" s="260"/>
      <c r="R37" s="261"/>
      <c r="S37" s="92" t="e">
        <f>1-(S34/S33)</f>
        <v>#DIV/0!</v>
      </c>
      <c r="T37" s="92" t="e">
        <f t="shared" ref="T37:AZ37" si="24">1-(T34/T33)</f>
        <v>#DIV/0!</v>
      </c>
      <c r="U37" s="92" t="e">
        <f t="shared" si="24"/>
        <v>#DIV/0!</v>
      </c>
      <c r="V37" s="92" t="e">
        <f t="shared" si="24"/>
        <v>#DIV/0!</v>
      </c>
      <c r="W37" s="92" t="e">
        <f t="shared" si="24"/>
        <v>#DIV/0!</v>
      </c>
      <c r="X37" s="92" t="e">
        <f t="shared" si="24"/>
        <v>#DIV/0!</v>
      </c>
      <c r="Y37" s="92" t="e">
        <f t="shared" si="24"/>
        <v>#DIV/0!</v>
      </c>
      <c r="Z37" s="92" t="e">
        <f t="shared" si="24"/>
        <v>#DIV/0!</v>
      </c>
      <c r="AA37" s="92" t="e">
        <f t="shared" si="24"/>
        <v>#DIV/0!</v>
      </c>
      <c r="AB37" s="92" t="e">
        <f t="shared" si="24"/>
        <v>#DIV/0!</v>
      </c>
      <c r="AC37" s="92" t="e">
        <f t="shared" si="24"/>
        <v>#DIV/0!</v>
      </c>
      <c r="AD37" s="92" t="e">
        <f t="shared" si="24"/>
        <v>#DIV/0!</v>
      </c>
      <c r="AE37" s="92" t="e">
        <f t="shared" si="24"/>
        <v>#DIV/0!</v>
      </c>
      <c r="AF37" s="92" t="e">
        <f t="shared" si="24"/>
        <v>#DIV/0!</v>
      </c>
      <c r="AG37" s="92" t="e">
        <f t="shared" si="24"/>
        <v>#DIV/0!</v>
      </c>
      <c r="AH37" s="92" t="e">
        <f t="shared" si="24"/>
        <v>#DIV/0!</v>
      </c>
      <c r="AI37" s="92" t="e">
        <f t="shared" si="24"/>
        <v>#DIV/0!</v>
      </c>
      <c r="AJ37" s="92" t="e">
        <f t="shared" si="24"/>
        <v>#DIV/0!</v>
      </c>
      <c r="AK37" s="92" t="e">
        <f t="shared" si="24"/>
        <v>#DIV/0!</v>
      </c>
      <c r="AL37" s="92" t="e">
        <f t="shared" si="24"/>
        <v>#DIV/0!</v>
      </c>
      <c r="AM37" s="92" t="e">
        <f t="shared" si="24"/>
        <v>#DIV/0!</v>
      </c>
      <c r="AN37" s="92" t="e">
        <f t="shared" si="24"/>
        <v>#DIV/0!</v>
      </c>
      <c r="AO37" s="92" t="e">
        <f t="shared" si="24"/>
        <v>#DIV/0!</v>
      </c>
      <c r="AP37" s="92" t="e">
        <f t="shared" si="24"/>
        <v>#DIV/0!</v>
      </c>
      <c r="AQ37" s="92" t="e">
        <f t="shared" si="24"/>
        <v>#DIV/0!</v>
      </c>
      <c r="AR37" s="92" t="e">
        <f t="shared" si="24"/>
        <v>#DIV/0!</v>
      </c>
      <c r="AS37" s="92" t="e">
        <f t="shared" si="24"/>
        <v>#DIV/0!</v>
      </c>
      <c r="AT37" s="92" t="e">
        <f t="shared" si="24"/>
        <v>#DIV/0!</v>
      </c>
      <c r="AU37" s="92" t="e">
        <f t="shared" si="24"/>
        <v>#DIV/0!</v>
      </c>
      <c r="AV37" s="92" t="e">
        <f t="shared" si="24"/>
        <v>#DIV/0!</v>
      </c>
      <c r="AW37" s="92" t="e">
        <f t="shared" si="24"/>
        <v>#DIV/0!</v>
      </c>
      <c r="AX37" s="92" t="e">
        <f t="shared" si="24"/>
        <v>#DIV/0!</v>
      </c>
      <c r="AY37" s="92" t="e">
        <f t="shared" si="24"/>
        <v>#DIV/0!</v>
      </c>
      <c r="AZ37" s="92" t="e">
        <f t="shared" si="24"/>
        <v>#DIV/0!</v>
      </c>
    </row>
    <row r="38" spans="1:52" ht="13">
      <c r="A38" s="87"/>
      <c r="B38" s="93"/>
      <c r="C38" s="260"/>
      <c r="D38" s="260"/>
      <c r="E38" s="260"/>
      <c r="F38" s="260"/>
      <c r="G38" s="260"/>
      <c r="H38" s="260"/>
      <c r="I38" s="260"/>
      <c r="J38" s="260"/>
      <c r="K38" s="260"/>
      <c r="L38" s="260"/>
      <c r="M38" s="260"/>
      <c r="N38" s="260"/>
      <c r="O38" s="260"/>
      <c r="P38" s="260"/>
      <c r="Q38" s="260"/>
      <c r="R38" s="260"/>
      <c r="S38" s="468"/>
      <c r="T38" s="468"/>
      <c r="U38" s="468"/>
      <c r="V38" s="468"/>
      <c r="W38" s="468"/>
      <c r="X38" s="468"/>
      <c r="Y38" s="468"/>
      <c r="Z38" s="468"/>
      <c r="AA38" s="468"/>
      <c r="AB38" s="466"/>
      <c r="AC38" s="468"/>
      <c r="AD38" s="468"/>
      <c r="AE38" s="468"/>
      <c r="AF38" s="468"/>
      <c r="AG38" s="468"/>
      <c r="AH38" s="468"/>
      <c r="AI38" s="468"/>
      <c r="AJ38" s="468"/>
      <c r="AK38" s="468"/>
      <c r="AL38" s="468"/>
      <c r="AM38" s="468"/>
      <c r="AN38" s="466"/>
      <c r="AO38" s="468"/>
      <c r="AP38" s="468"/>
      <c r="AQ38" s="468"/>
      <c r="AR38" s="468"/>
      <c r="AS38" s="468"/>
      <c r="AT38" s="468"/>
      <c r="AU38" s="468"/>
      <c r="AV38" s="468"/>
      <c r="AW38" s="468"/>
      <c r="AX38" s="468"/>
      <c r="AY38" s="468"/>
      <c r="AZ38" s="544"/>
    </row>
    <row r="39" spans="1:52" ht="13">
      <c r="A39" s="85" t="s">
        <v>45</v>
      </c>
      <c r="B39" s="102"/>
      <c r="C39" s="86"/>
      <c r="D39" s="86"/>
      <c r="E39" s="86"/>
      <c r="F39" s="86"/>
      <c r="G39" s="86"/>
      <c r="H39" s="86"/>
      <c r="I39" s="86"/>
      <c r="J39" s="86"/>
      <c r="K39" s="86"/>
      <c r="L39" s="86"/>
      <c r="M39" s="86"/>
      <c r="N39" s="86"/>
      <c r="O39" s="86"/>
      <c r="P39" s="86"/>
      <c r="Q39" s="86"/>
      <c r="R39" s="86"/>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539"/>
    </row>
    <row r="40" spans="1:52" ht="13">
      <c r="A40" s="85"/>
      <c r="B40" s="102"/>
      <c r="C40" s="86"/>
      <c r="D40" s="86"/>
      <c r="E40" s="86"/>
      <c r="F40" s="86"/>
      <c r="G40" s="86"/>
      <c r="H40" s="86"/>
      <c r="I40" s="86"/>
      <c r="J40" s="86"/>
      <c r="K40" s="86"/>
      <c r="L40" s="86"/>
      <c r="M40" s="86"/>
      <c r="N40" s="86"/>
      <c r="O40" s="86"/>
      <c r="P40" s="86"/>
      <c r="Q40" s="86"/>
      <c r="R40" s="86"/>
      <c r="S40" s="106"/>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06"/>
      <c r="AS40" s="106"/>
      <c r="AT40" s="106"/>
      <c r="AU40" s="106"/>
      <c r="AV40" s="106"/>
      <c r="AW40" s="106"/>
      <c r="AX40" s="106"/>
      <c r="AY40" s="106"/>
      <c r="AZ40" s="547"/>
    </row>
    <row r="41" spans="1:52" ht="13">
      <c r="A41" s="87" t="s">
        <v>39</v>
      </c>
      <c r="B41" s="93"/>
      <c r="C41" s="260"/>
      <c r="D41" s="260"/>
      <c r="E41" s="260"/>
      <c r="F41" s="260"/>
      <c r="G41" s="260"/>
      <c r="H41" s="260"/>
      <c r="I41" s="260"/>
      <c r="J41" s="260"/>
      <c r="K41" s="260"/>
      <c r="L41" s="260"/>
      <c r="M41" s="260"/>
      <c r="N41" s="260"/>
      <c r="O41" s="260"/>
      <c r="P41" s="260"/>
      <c r="Q41" s="260"/>
      <c r="R41" s="261"/>
      <c r="S41" s="90">
        <f>S33-S34-S39</f>
        <v>0</v>
      </c>
      <c r="T41" s="90">
        <f t="shared" ref="T41:AZ41" si="25">T33-T34-T39</f>
        <v>0</v>
      </c>
      <c r="U41" s="90">
        <f t="shared" si="25"/>
        <v>0</v>
      </c>
      <c r="V41" s="90">
        <f t="shared" si="25"/>
        <v>0</v>
      </c>
      <c r="W41" s="90">
        <f t="shared" si="25"/>
        <v>0</v>
      </c>
      <c r="X41" s="90">
        <f t="shared" si="25"/>
        <v>0</v>
      </c>
      <c r="Y41" s="90">
        <f t="shared" si="25"/>
        <v>0</v>
      </c>
      <c r="Z41" s="90">
        <f t="shared" si="25"/>
        <v>0</v>
      </c>
      <c r="AA41" s="90">
        <f t="shared" si="25"/>
        <v>0</v>
      </c>
      <c r="AB41" s="90">
        <f t="shared" si="25"/>
        <v>0</v>
      </c>
      <c r="AC41" s="90">
        <f t="shared" si="25"/>
        <v>0</v>
      </c>
      <c r="AD41" s="90">
        <f t="shared" si="25"/>
        <v>0</v>
      </c>
      <c r="AE41" s="90">
        <f t="shared" si="25"/>
        <v>0</v>
      </c>
      <c r="AF41" s="90">
        <f t="shared" si="25"/>
        <v>0</v>
      </c>
      <c r="AG41" s="90">
        <f t="shared" si="25"/>
        <v>0</v>
      </c>
      <c r="AH41" s="90">
        <f t="shared" si="25"/>
        <v>0</v>
      </c>
      <c r="AI41" s="90">
        <f t="shared" si="25"/>
        <v>0</v>
      </c>
      <c r="AJ41" s="90">
        <f t="shared" si="25"/>
        <v>0</v>
      </c>
      <c r="AK41" s="90">
        <f t="shared" si="25"/>
        <v>0</v>
      </c>
      <c r="AL41" s="90">
        <f t="shared" si="25"/>
        <v>0</v>
      </c>
      <c r="AM41" s="90">
        <f t="shared" si="25"/>
        <v>0</v>
      </c>
      <c r="AN41" s="90">
        <f t="shared" si="25"/>
        <v>0</v>
      </c>
      <c r="AO41" s="90">
        <f t="shared" si="25"/>
        <v>0</v>
      </c>
      <c r="AP41" s="90">
        <f t="shared" si="25"/>
        <v>0</v>
      </c>
      <c r="AQ41" s="90">
        <f t="shared" si="25"/>
        <v>0</v>
      </c>
      <c r="AR41" s="90">
        <f t="shared" si="25"/>
        <v>0</v>
      </c>
      <c r="AS41" s="90">
        <f t="shared" si="25"/>
        <v>0</v>
      </c>
      <c r="AT41" s="90">
        <f t="shared" si="25"/>
        <v>0</v>
      </c>
      <c r="AU41" s="90">
        <f t="shared" si="25"/>
        <v>0</v>
      </c>
      <c r="AV41" s="90">
        <f t="shared" si="25"/>
        <v>0</v>
      </c>
      <c r="AW41" s="90">
        <f t="shared" si="25"/>
        <v>0</v>
      </c>
      <c r="AX41" s="90">
        <f t="shared" si="25"/>
        <v>0</v>
      </c>
      <c r="AY41" s="90">
        <f t="shared" si="25"/>
        <v>0</v>
      </c>
      <c r="AZ41" s="90">
        <f t="shared" si="25"/>
        <v>0</v>
      </c>
    </row>
    <row r="42" spans="1:52" ht="13">
      <c r="A42" s="87" t="s">
        <v>40</v>
      </c>
      <c r="B42" s="93"/>
      <c r="C42" s="260"/>
      <c r="D42" s="260"/>
      <c r="E42" s="260"/>
      <c r="F42" s="260"/>
      <c r="G42" s="260"/>
      <c r="H42" s="260"/>
      <c r="I42" s="260"/>
      <c r="J42" s="260"/>
      <c r="K42" s="260"/>
      <c r="L42" s="260"/>
      <c r="M42" s="260"/>
      <c r="N42" s="260"/>
      <c r="O42" s="260"/>
      <c r="P42" s="260"/>
      <c r="Q42" s="260"/>
      <c r="R42" s="261"/>
      <c r="S42" s="92" t="e">
        <f>1-((S34+S39)/S33)</f>
        <v>#DIV/0!</v>
      </c>
      <c r="T42" s="92" t="e">
        <f t="shared" ref="T42:AZ42" si="26">1-((T34+T39)/T33)</f>
        <v>#DIV/0!</v>
      </c>
      <c r="U42" s="92" t="e">
        <f t="shared" si="26"/>
        <v>#DIV/0!</v>
      </c>
      <c r="V42" s="92" t="e">
        <f t="shared" si="26"/>
        <v>#DIV/0!</v>
      </c>
      <c r="W42" s="92" t="e">
        <f t="shared" si="26"/>
        <v>#DIV/0!</v>
      </c>
      <c r="X42" s="92" t="e">
        <f t="shared" si="26"/>
        <v>#DIV/0!</v>
      </c>
      <c r="Y42" s="92" t="e">
        <f t="shared" si="26"/>
        <v>#DIV/0!</v>
      </c>
      <c r="Z42" s="92" t="e">
        <f t="shared" si="26"/>
        <v>#DIV/0!</v>
      </c>
      <c r="AA42" s="92" t="e">
        <f t="shared" si="26"/>
        <v>#DIV/0!</v>
      </c>
      <c r="AB42" s="92" t="e">
        <f t="shared" si="26"/>
        <v>#DIV/0!</v>
      </c>
      <c r="AC42" s="92" t="e">
        <f t="shared" si="26"/>
        <v>#DIV/0!</v>
      </c>
      <c r="AD42" s="92" t="e">
        <f t="shared" si="26"/>
        <v>#DIV/0!</v>
      </c>
      <c r="AE42" s="92" t="e">
        <f t="shared" si="26"/>
        <v>#DIV/0!</v>
      </c>
      <c r="AF42" s="92" t="e">
        <f t="shared" si="26"/>
        <v>#DIV/0!</v>
      </c>
      <c r="AG42" s="92" t="e">
        <f t="shared" si="26"/>
        <v>#DIV/0!</v>
      </c>
      <c r="AH42" s="92" t="e">
        <f t="shared" si="26"/>
        <v>#DIV/0!</v>
      </c>
      <c r="AI42" s="92" t="e">
        <f t="shared" si="26"/>
        <v>#DIV/0!</v>
      </c>
      <c r="AJ42" s="92" t="e">
        <f t="shared" si="26"/>
        <v>#DIV/0!</v>
      </c>
      <c r="AK42" s="92" t="e">
        <f t="shared" si="26"/>
        <v>#DIV/0!</v>
      </c>
      <c r="AL42" s="92" t="e">
        <f t="shared" si="26"/>
        <v>#DIV/0!</v>
      </c>
      <c r="AM42" s="92" t="e">
        <f t="shared" si="26"/>
        <v>#DIV/0!</v>
      </c>
      <c r="AN42" s="92" t="e">
        <f t="shared" si="26"/>
        <v>#DIV/0!</v>
      </c>
      <c r="AO42" s="92" t="e">
        <f t="shared" si="26"/>
        <v>#DIV/0!</v>
      </c>
      <c r="AP42" s="92" t="e">
        <f t="shared" si="26"/>
        <v>#DIV/0!</v>
      </c>
      <c r="AQ42" s="92" t="e">
        <f t="shared" si="26"/>
        <v>#DIV/0!</v>
      </c>
      <c r="AR42" s="92" t="e">
        <f t="shared" si="26"/>
        <v>#DIV/0!</v>
      </c>
      <c r="AS42" s="92" t="e">
        <f t="shared" si="26"/>
        <v>#DIV/0!</v>
      </c>
      <c r="AT42" s="92" t="e">
        <f t="shared" si="26"/>
        <v>#DIV/0!</v>
      </c>
      <c r="AU42" s="92" t="e">
        <f t="shared" si="26"/>
        <v>#DIV/0!</v>
      </c>
      <c r="AV42" s="92" t="e">
        <f t="shared" si="26"/>
        <v>#DIV/0!</v>
      </c>
      <c r="AW42" s="92" t="e">
        <f t="shared" si="26"/>
        <v>#DIV/0!</v>
      </c>
      <c r="AX42" s="92" t="e">
        <f t="shared" si="26"/>
        <v>#DIV/0!</v>
      </c>
      <c r="AY42" s="92" t="e">
        <f t="shared" si="26"/>
        <v>#DIV/0!</v>
      </c>
      <c r="AZ42" s="92" t="e">
        <f t="shared" si="26"/>
        <v>#DIV/0!</v>
      </c>
    </row>
    <row r="43" spans="1:52" ht="13">
      <c r="A43" s="87"/>
      <c r="B43" s="93"/>
      <c r="C43" s="260"/>
      <c r="D43" s="260"/>
      <c r="E43" s="260"/>
      <c r="F43" s="260"/>
      <c r="G43" s="260"/>
      <c r="H43" s="260"/>
      <c r="I43" s="260"/>
      <c r="J43" s="260"/>
      <c r="K43" s="260"/>
      <c r="L43" s="260"/>
      <c r="M43" s="260"/>
      <c r="N43" s="260"/>
      <c r="O43" s="260"/>
      <c r="P43" s="260"/>
      <c r="Q43" s="260"/>
      <c r="R43" s="260"/>
      <c r="S43" s="91"/>
      <c r="T43" s="91"/>
      <c r="U43" s="91"/>
      <c r="V43" s="91"/>
      <c r="W43" s="91"/>
      <c r="X43" s="91"/>
      <c r="Y43" s="91"/>
      <c r="Z43" s="91"/>
      <c r="AA43" s="91"/>
      <c r="AB43" s="86"/>
      <c r="AC43" s="91"/>
      <c r="AD43" s="91"/>
      <c r="AE43" s="91"/>
      <c r="AF43" s="91"/>
      <c r="AG43" s="91"/>
      <c r="AH43" s="91"/>
      <c r="AI43" s="91"/>
      <c r="AJ43" s="91"/>
      <c r="AK43" s="91"/>
      <c r="AL43" s="91"/>
      <c r="AM43" s="91"/>
      <c r="AN43" s="86"/>
      <c r="AO43" s="91"/>
      <c r="AP43" s="91"/>
      <c r="AQ43" s="91"/>
      <c r="AR43" s="91"/>
      <c r="AS43" s="91"/>
      <c r="AT43" s="91"/>
      <c r="AU43" s="91"/>
      <c r="AV43" s="91"/>
      <c r="AW43" s="91"/>
      <c r="AX43" s="91"/>
      <c r="AY43" s="91"/>
      <c r="AZ43" s="548"/>
    </row>
    <row r="44" spans="1:52" ht="13">
      <c r="A44" s="101" t="s">
        <v>46</v>
      </c>
      <c r="B44" s="105"/>
      <c r="C44" s="262"/>
      <c r="D44" s="262"/>
      <c r="E44" s="262"/>
      <c r="F44" s="262"/>
      <c r="G44" s="262"/>
      <c r="H44" s="262"/>
      <c r="I44" s="262"/>
      <c r="J44" s="262"/>
      <c r="K44" s="262"/>
      <c r="L44" s="262"/>
      <c r="M44" s="262"/>
      <c r="N44" s="262"/>
      <c r="O44" s="262"/>
      <c r="P44" s="262"/>
      <c r="Q44" s="262"/>
      <c r="R44" s="262"/>
      <c r="S44" s="468"/>
      <c r="T44" s="468"/>
      <c r="U44" s="468"/>
      <c r="V44" s="468"/>
      <c r="W44" s="468"/>
      <c r="X44" s="468"/>
      <c r="Y44" s="468"/>
      <c r="Z44" s="468"/>
      <c r="AA44" s="468"/>
      <c r="AB44" s="466"/>
      <c r="AC44" s="468"/>
      <c r="AD44" s="468"/>
      <c r="AE44" s="468"/>
      <c r="AF44" s="468"/>
      <c r="AG44" s="468"/>
      <c r="AH44" s="468"/>
      <c r="AI44" s="468"/>
      <c r="AJ44" s="468"/>
      <c r="AK44" s="468"/>
      <c r="AL44" s="468"/>
      <c r="AM44" s="468"/>
      <c r="AN44" s="466"/>
      <c r="AO44" s="468"/>
      <c r="AP44" s="468"/>
      <c r="AQ44" s="468"/>
      <c r="AR44" s="468"/>
      <c r="AS44" s="468"/>
      <c r="AT44" s="468"/>
      <c r="AU44" s="468"/>
      <c r="AV44" s="468"/>
      <c r="AW44" s="468"/>
      <c r="AX44" s="468"/>
      <c r="AY44" s="468"/>
      <c r="AZ44" s="544"/>
    </row>
    <row r="45" spans="1:52" ht="13">
      <c r="A45" s="85" t="s">
        <v>47</v>
      </c>
      <c r="B45" s="102"/>
      <c r="C45" s="86"/>
      <c r="D45" s="86"/>
      <c r="E45" s="86"/>
      <c r="F45" s="86"/>
      <c r="G45" s="86"/>
      <c r="H45" s="86"/>
      <c r="I45" s="86"/>
      <c r="J45" s="86"/>
      <c r="K45" s="86"/>
      <c r="L45" s="86"/>
      <c r="M45" s="86"/>
      <c r="N45" s="86"/>
      <c r="O45" s="86"/>
      <c r="P45" s="86"/>
      <c r="Q45" s="86"/>
      <c r="R45" s="86"/>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539"/>
    </row>
    <row r="46" spans="1:52" ht="13">
      <c r="A46" s="85" t="s">
        <v>48</v>
      </c>
      <c r="B46" s="102"/>
      <c r="C46" s="86"/>
      <c r="D46" s="86"/>
      <c r="E46" s="86"/>
      <c r="F46" s="86"/>
      <c r="G46" s="86"/>
      <c r="H46" s="86"/>
      <c r="I46" s="86"/>
      <c r="J46" s="86"/>
      <c r="K46" s="86"/>
      <c r="L46" s="86"/>
      <c r="M46" s="86"/>
      <c r="N46" s="86"/>
      <c r="O46" s="86"/>
      <c r="P46" s="86"/>
      <c r="Q46" s="86"/>
      <c r="R46" s="86"/>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539"/>
    </row>
    <row r="47" spans="1:52" ht="13">
      <c r="A47" s="85" t="s">
        <v>49</v>
      </c>
      <c r="B47" s="102"/>
      <c r="C47" s="86"/>
      <c r="D47" s="86"/>
      <c r="E47" s="86"/>
      <c r="F47" s="86"/>
      <c r="G47" s="86"/>
      <c r="H47" s="86"/>
      <c r="I47" s="86"/>
      <c r="J47" s="86"/>
      <c r="K47" s="86"/>
      <c r="L47" s="86"/>
      <c r="M47" s="86"/>
      <c r="N47" s="86"/>
      <c r="O47" s="86"/>
      <c r="P47" s="86"/>
      <c r="Q47" s="86"/>
      <c r="R47" s="86"/>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539"/>
    </row>
    <row r="48" spans="1:52" ht="13">
      <c r="A48" s="87"/>
      <c r="B48" s="107"/>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9"/>
      <c r="AC48" s="108"/>
      <c r="AD48" s="108"/>
      <c r="AE48" s="108"/>
      <c r="AF48" s="108"/>
      <c r="AG48" s="108"/>
      <c r="AH48" s="108"/>
      <c r="AI48" s="108"/>
      <c r="AJ48" s="108"/>
      <c r="AK48" s="108"/>
      <c r="AL48" s="108"/>
      <c r="AM48" s="108"/>
      <c r="AN48" s="109"/>
      <c r="AO48" s="108"/>
      <c r="AP48" s="108"/>
      <c r="AQ48" s="108"/>
      <c r="AR48" s="108"/>
      <c r="AS48" s="108"/>
      <c r="AT48" s="108"/>
      <c r="AU48" s="108"/>
      <c r="AV48" s="108"/>
      <c r="AW48" s="108"/>
      <c r="AX48" s="108"/>
      <c r="AY48" s="108"/>
      <c r="AZ48" s="549"/>
    </row>
    <row r="49" spans="1:52" ht="13">
      <c r="A49" s="85" t="s">
        <v>50</v>
      </c>
      <c r="B49" s="114"/>
      <c r="C49" s="88"/>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539"/>
    </row>
    <row r="50" spans="1:52" ht="13">
      <c r="A50" s="85" t="s">
        <v>51</v>
      </c>
      <c r="B50" s="114"/>
      <c r="C50" s="88"/>
      <c r="D50" s="88"/>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539"/>
    </row>
    <row r="51" spans="1:52" ht="13">
      <c r="A51" s="87"/>
      <c r="B51" s="110"/>
      <c r="C51" s="111"/>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00"/>
      <c r="AC51" s="111"/>
      <c r="AD51" s="111"/>
      <c r="AE51" s="111"/>
      <c r="AF51" s="111"/>
      <c r="AG51" s="111"/>
      <c r="AH51" s="111"/>
      <c r="AI51" s="111"/>
      <c r="AJ51" s="111"/>
      <c r="AK51" s="111"/>
      <c r="AL51" s="111"/>
      <c r="AM51" s="111"/>
      <c r="AN51" s="100"/>
      <c r="AO51" s="111"/>
      <c r="AP51" s="111"/>
      <c r="AQ51" s="111"/>
      <c r="AR51" s="111"/>
      <c r="AS51" s="111"/>
      <c r="AT51" s="111"/>
      <c r="AU51" s="111"/>
      <c r="AV51" s="111"/>
      <c r="AW51" s="111"/>
      <c r="AX51" s="111"/>
      <c r="AY51" s="111"/>
      <c r="AZ51" s="550"/>
    </row>
    <row r="52" spans="1:52" ht="15.5">
      <c r="A52" s="96" t="s">
        <v>52</v>
      </c>
      <c r="B52" s="102"/>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132"/>
      <c r="AG52" s="132"/>
      <c r="AH52" s="86"/>
      <c r="AI52" s="132"/>
      <c r="AJ52" s="132"/>
      <c r="AK52" s="86"/>
      <c r="AL52" s="132"/>
      <c r="AM52" s="132"/>
      <c r="AN52" s="86"/>
      <c r="AO52" s="132"/>
      <c r="AP52" s="132"/>
      <c r="AQ52" s="86"/>
      <c r="AR52" s="132"/>
      <c r="AS52" s="132"/>
      <c r="AT52" s="86"/>
      <c r="AU52" s="132"/>
      <c r="AV52" s="132"/>
      <c r="AW52" s="132"/>
      <c r="AX52" s="132"/>
      <c r="AY52" s="132"/>
      <c r="AZ52" s="532"/>
    </row>
    <row r="53" spans="1:52" ht="26">
      <c r="A53" s="145" t="s">
        <v>53</v>
      </c>
      <c r="B53" s="134"/>
      <c r="C53" s="132"/>
      <c r="D53" s="132"/>
      <c r="E53" s="132"/>
      <c r="F53" s="132"/>
      <c r="G53" s="132"/>
      <c r="H53" s="132"/>
      <c r="I53" s="132"/>
      <c r="J53" s="132"/>
      <c r="K53" s="132"/>
      <c r="L53" s="132"/>
      <c r="M53" s="132"/>
      <c r="N53" s="132"/>
      <c r="O53" s="132"/>
      <c r="P53" s="132"/>
      <c r="Q53" s="132"/>
      <c r="R53" s="132"/>
      <c r="S53" s="123"/>
      <c r="T53" s="132"/>
      <c r="U53" s="132"/>
      <c r="V53" s="123"/>
      <c r="W53" s="132"/>
      <c r="X53" s="132"/>
      <c r="Y53" s="123"/>
      <c r="Z53" s="132"/>
      <c r="AA53" s="132"/>
      <c r="AB53" s="123"/>
      <c r="AC53" s="132"/>
      <c r="AD53" s="132"/>
      <c r="AE53" s="123"/>
      <c r="AF53" s="132"/>
      <c r="AG53" s="132"/>
      <c r="AH53" s="123"/>
      <c r="AI53" s="132"/>
      <c r="AJ53" s="132"/>
      <c r="AK53" s="123"/>
      <c r="AL53" s="132"/>
      <c r="AM53" s="132"/>
      <c r="AN53" s="123"/>
      <c r="AO53" s="132"/>
      <c r="AP53" s="132"/>
      <c r="AQ53" s="123"/>
      <c r="AR53" s="132"/>
      <c r="AS53" s="132"/>
      <c r="AT53" s="123"/>
      <c r="AU53" s="132"/>
      <c r="AV53" s="132"/>
      <c r="AW53" s="123"/>
      <c r="AX53" s="132"/>
      <c r="AY53" s="132"/>
      <c r="AZ53" s="123"/>
    </row>
    <row r="54" spans="1:52" ht="13">
      <c r="A54" s="85"/>
      <c r="B54" s="125"/>
      <c r="C54" s="124"/>
      <c r="D54" s="124"/>
      <c r="E54" s="124"/>
      <c r="F54" s="124"/>
      <c r="G54" s="124"/>
      <c r="H54" s="124"/>
      <c r="I54" s="124"/>
      <c r="J54" s="124"/>
      <c r="K54" s="124"/>
      <c r="L54" s="124"/>
      <c r="M54" s="124"/>
      <c r="N54" s="124"/>
      <c r="O54" s="124"/>
      <c r="P54" s="124"/>
      <c r="Q54" s="124"/>
      <c r="R54" s="124"/>
      <c r="S54" s="124"/>
      <c r="T54" s="124"/>
      <c r="U54" s="124"/>
      <c r="V54" s="124"/>
      <c r="W54" s="124"/>
      <c r="X54" s="124"/>
      <c r="Y54" s="124"/>
      <c r="Z54" s="124"/>
      <c r="AA54" s="124"/>
      <c r="AB54" s="86"/>
      <c r="AC54" s="124"/>
      <c r="AD54" s="124"/>
      <c r="AE54" s="124"/>
      <c r="AF54" s="137"/>
      <c r="AG54" s="137"/>
      <c r="AH54" s="124"/>
      <c r="AI54" s="137"/>
      <c r="AJ54" s="137"/>
      <c r="AK54" s="124"/>
      <c r="AL54" s="124"/>
      <c r="AM54" s="124"/>
      <c r="AN54" s="86"/>
      <c r="AO54" s="124"/>
      <c r="AP54" s="124"/>
      <c r="AQ54" s="124"/>
      <c r="AR54" s="124"/>
      <c r="AS54" s="124"/>
      <c r="AT54" s="124"/>
      <c r="AU54" s="124"/>
      <c r="AV54" s="124"/>
      <c r="AW54" s="124"/>
      <c r="AX54" s="124"/>
      <c r="AY54" s="124"/>
      <c r="AZ54" s="551"/>
    </row>
    <row r="55" spans="1:52" ht="15.5">
      <c r="A55" s="112" t="s">
        <v>54</v>
      </c>
      <c r="B55" s="263"/>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3"/>
      <c r="AL55" s="113"/>
      <c r="AM55" s="113"/>
      <c r="AN55" s="113"/>
      <c r="AO55" s="113"/>
      <c r="AP55" s="113"/>
      <c r="AQ55" s="113"/>
      <c r="AR55" s="113"/>
      <c r="AS55" s="113"/>
      <c r="AT55" s="113"/>
      <c r="AU55" s="113"/>
      <c r="AV55" s="113"/>
      <c r="AW55" s="113"/>
      <c r="AX55" s="501"/>
      <c r="AY55" s="501"/>
      <c r="AZ55" s="502"/>
    </row>
    <row r="56" spans="1:52" ht="15.5">
      <c r="A56" s="96" t="s">
        <v>55</v>
      </c>
      <c r="B56" s="103"/>
      <c r="C56" s="89"/>
      <c r="D56" s="89"/>
      <c r="E56" s="89"/>
      <c r="F56" s="89"/>
      <c r="G56" s="89"/>
      <c r="H56" s="89"/>
      <c r="I56" s="89"/>
      <c r="J56" s="89"/>
      <c r="K56" s="89"/>
      <c r="L56" s="89"/>
      <c r="M56" s="89"/>
      <c r="N56" s="89"/>
      <c r="O56" s="89"/>
      <c r="P56" s="89"/>
      <c r="Q56" s="89"/>
      <c r="R56" s="89"/>
      <c r="S56" s="89"/>
      <c r="T56" s="89"/>
      <c r="U56" s="89"/>
      <c r="V56" s="89"/>
      <c r="W56" s="131"/>
      <c r="X56" s="131"/>
      <c r="Y56" s="89"/>
      <c r="Z56" s="132"/>
      <c r="AA56" s="131"/>
      <c r="AB56" s="89"/>
      <c r="AC56" s="131"/>
      <c r="AD56" s="131"/>
      <c r="AE56" s="89"/>
      <c r="AF56" s="131"/>
      <c r="AG56" s="131"/>
      <c r="AH56" s="89"/>
      <c r="AI56" s="131"/>
      <c r="AJ56" s="131"/>
      <c r="AK56" s="89"/>
      <c r="AL56" s="132"/>
      <c r="AM56" s="131"/>
      <c r="AN56" s="89"/>
      <c r="AO56" s="131"/>
      <c r="AP56" s="131"/>
      <c r="AQ56" s="89"/>
      <c r="AR56" s="131"/>
      <c r="AS56" s="131"/>
      <c r="AT56" s="89"/>
      <c r="AU56" s="131"/>
      <c r="AV56" s="131"/>
      <c r="AW56" s="89"/>
      <c r="AX56" s="503"/>
      <c r="AY56" s="503"/>
      <c r="AZ56" s="500"/>
    </row>
    <row r="57" spans="1:52" ht="13">
      <c r="A57" s="102" t="s">
        <v>56</v>
      </c>
      <c r="B57" s="134"/>
      <c r="C57" s="132"/>
      <c r="D57" s="132"/>
      <c r="E57" s="132"/>
      <c r="F57" s="132"/>
      <c r="G57" s="132"/>
      <c r="H57" s="132"/>
      <c r="I57" s="132"/>
      <c r="J57" s="132"/>
      <c r="K57" s="132"/>
      <c r="L57" s="132"/>
      <c r="M57" s="132"/>
      <c r="N57" s="132"/>
      <c r="O57" s="132"/>
      <c r="P57" s="132"/>
      <c r="Q57" s="132"/>
      <c r="R57" s="132"/>
      <c r="S57" s="126"/>
      <c r="T57" s="132"/>
      <c r="U57" s="132"/>
      <c r="V57" s="126"/>
      <c r="W57" s="132"/>
      <c r="X57" s="132"/>
      <c r="Y57" s="126"/>
      <c r="Z57" s="132"/>
      <c r="AA57" s="132"/>
      <c r="AB57" s="126"/>
      <c r="AC57" s="132"/>
      <c r="AD57" s="132"/>
      <c r="AE57" s="126"/>
      <c r="AF57" s="132"/>
      <c r="AG57" s="132"/>
      <c r="AH57" s="126"/>
      <c r="AI57" s="132"/>
      <c r="AJ57" s="132"/>
      <c r="AK57" s="126"/>
      <c r="AL57" s="132"/>
      <c r="AM57" s="132"/>
      <c r="AN57" s="126"/>
      <c r="AO57" s="132"/>
      <c r="AP57" s="132"/>
      <c r="AQ57" s="126"/>
      <c r="AR57" s="132"/>
      <c r="AS57" s="132"/>
      <c r="AT57" s="126"/>
      <c r="AU57" s="132"/>
      <c r="AV57" s="132"/>
      <c r="AW57" s="126"/>
      <c r="AX57" s="132"/>
      <c r="AY57" s="132"/>
      <c r="AZ57" s="126"/>
    </row>
    <row r="58" spans="1:52" ht="13">
      <c r="A58" s="102" t="s">
        <v>57</v>
      </c>
      <c r="B58" s="134"/>
      <c r="C58" s="132"/>
      <c r="D58" s="132"/>
      <c r="E58" s="132"/>
      <c r="F58" s="132"/>
      <c r="G58" s="132"/>
      <c r="H58" s="132"/>
      <c r="I58" s="132"/>
      <c r="J58" s="132"/>
      <c r="K58" s="132"/>
      <c r="L58" s="132"/>
      <c r="M58" s="132"/>
      <c r="N58" s="132"/>
      <c r="O58" s="132"/>
      <c r="P58" s="132"/>
      <c r="Q58" s="132"/>
      <c r="R58" s="132"/>
      <c r="S58" s="127"/>
      <c r="T58" s="132"/>
      <c r="U58" s="132"/>
      <c r="V58" s="127"/>
      <c r="W58" s="132"/>
      <c r="X58" s="132"/>
      <c r="Y58" s="127"/>
      <c r="Z58" s="132"/>
      <c r="AA58" s="132"/>
      <c r="AB58" s="127"/>
      <c r="AC58" s="132"/>
      <c r="AD58" s="132"/>
      <c r="AE58" s="127"/>
      <c r="AF58" s="132"/>
      <c r="AG58" s="132"/>
      <c r="AH58" s="127"/>
      <c r="AI58" s="132"/>
      <c r="AJ58" s="132"/>
      <c r="AK58" s="127"/>
      <c r="AL58" s="132"/>
      <c r="AM58" s="132"/>
      <c r="AN58" s="127"/>
      <c r="AO58" s="132"/>
      <c r="AP58" s="132"/>
      <c r="AQ58" s="127"/>
      <c r="AR58" s="132"/>
      <c r="AS58" s="132"/>
      <c r="AT58" s="127"/>
      <c r="AU58" s="132"/>
      <c r="AV58" s="132"/>
      <c r="AW58" s="127"/>
      <c r="AX58" s="132"/>
      <c r="AY58" s="132"/>
      <c r="AZ58" s="127"/>
    </row>
    <row r="59" spans="1:52" ht="13">
      <c r="A59" s="102" t="s">
        <v>58</v>
      </c>
      <c r="B59" s="134"/>
      <c r="C59" s="132"/>
      <c r="D59" s="132"/>
      <c r="E59" s="132"/>
      <c r="F59" s="132"/>
      <c r="G59" s="132"/>
      <c r="H59" s="132"/>
      <c r="I59" s="132"/>
      <c r="J59" s="132"/>
      <c r="K59" s="132"/>
      <c r="L59" s="132"/>
      <c r="M59" s="132"/>
      <c r="N59" s="132"/>
      <c r="O59" s="132"/>
      <c r="P59" s="132"/>
      <c r="Q59" s="132"/>
      <c r="R59" s="132"/>
      <c r="S59" s="127"/>
      <c r="T59" s="132"/>
      <c r="U59" s="132"/>
      <c r="V59" s="127"/>
      <c r="W59" s="132"/>
      <c r="X59" s="132"/>
      <c r="Y59" s="127"/>
      <c r="Z59" s="132"/>
      <c r="AA59" s="132"/>
      <c r="AB59" s="127"/>
      <c r="AC59" s="132"/>
      <c r="AD59" s="132"/>
      <c r="AE59" s="127"/>
      <c r="AF59" s="132"/>
      <c r="AG59" s="132"/>
      <c r="AH59" s="127"/>
      <c r="AI59" s="132"/>
      <c r="AJ59" s="132"/>
      <c r="AK59" s="127"/>
      <c r="AL59" s="132"/>
      <c r="AM59" s="132"/>
      <c r="AN59" s="127"/>
      <c r="AO59" s="132"/>
      <c r="AP59" s="132"/>
      <c r="AQ59" s="127"/>
      <c r="AR59" s="132"/>
      <c r="AS59" s="132"/>
      <c r="AT59" s="127"/>
      <c r="AU59" s="132"/>
      <c r="AV59" s="132"/>
      <c r="AW59" s="127"/>
      <c r="AX59" s="132"/>
      <c r="AY59" s="132"/>
      <c r="AZ59" s="127"/>
    </row>
    <row r="60" spans="1:52" ht="13">
      <c r="A60" s="102" t="s">
        <v>59</v>
      </c>
      <c r="B60" s="134"/>
      <c r="C60" s="132"/>
      <c r="D60" s="132"/>
      <c r="E60" s="132"/>
      <c r="F60" s="132"/>
      <c r="G60" s="132"/>
      <c r="H60" s="132"/>
      <c r="I60" s="132"/>
      <c r="J60" s="132"/>
      <c r="K60" s="132"/>
      <c r="L60" s="132"/>
      <c r="M60" s="132"/>
      <c r="N60" s="132"/>
      <c r="O60" s="132"/>
      <c r="P60" s="132"/>
      <c r="Q60" s="132"/>
      <c r="R60" s="132"/>
      <c r="S60" s="127"/>
      <c r="T60" s="132"/>
      <c r="U60" s="132"/>
      <c r="V60" s="127"/>
      <c r="W60" s="132"/>
      <c r="X60" s="132"/>
      <c r="Y60" s="127"/>
      <c r="Z60" s="132"/>
      <c r="AA60" s="132"/>
      <c r="AB60" s="127"/>
      <c r="AC60" s="132"/>
      <c r="AD60" s="132"/>
      <c r="AE60" s="127"/>
      <c r="AF60" s="132"/>
      <c r="AG60" s="132"/>
      <c r="AH60" s="127"/>
      <c r="AI60" s="132"/>
      <c r="AJ60" s="132"/>
      <c r="AK60" s="127"/>
      <c r="AL60" s="132"/>
      <c r="AM60" s="132"/>
      <c r="AN60" s="127"/>
      <c r="AO60" s="132"/>
      <c r="AP60" s="132"/>
      <c r="AQ60" s="127"/>
      <c r="AR60" s="132"/>
      <c r="AS60" s="132"/>
      <c r="AT60" s="127"/>
      <c r="AU60" s="132"/>
      <c r="AV60" s="132"/>
      <c r="AW60" s="127"/>
      <c r="AX60" s="132"/>
      <c r="AY60" s="132"/>
      <c r="AZ60" s="127"/>
    </row>
    <row r="61" spans="1:52" ht="13">
      <c r="A61" s="102" t="s">
        <v>60</v>
      </c>
      <c r="B61" s="134"/>
      <c r="C61" s="132"/>
      <c r="D61" s="132"/>
      <c r="E61" s="132"/>
      <c r="F61" s="132"/>
      <c r="G61" s="132"/>
      <c r="H61" s="132"/>
      <c r="I61" s="132"/>
      <c r="J61" s="132"/>
      <c r="K61" s="132"/>
      <c r="L61" s="132"/>
      <c r="M61" s="132"/>
      <c r="N61" s="132"/>
      <c r="O61" s="132"/>
      <c r="P61" s="132"/>
      <c r="Q61" s="132"/>
      <c r="R61" s="132"/>
      <c r="S61" s="127"/>
      <c r="T61" s="132"/>
      <c r="U61" s="132"/>
      <c r="V61" s="127"/>
      <c r="W61" s="132"/>
      <c r="X61" s="132"/>
      <c r="Y61" s="127"/>
      <c r="Z61" s="132"/>
      <c r="AA61" s="132"/>
      <c r="AB61" s="127"/>
      <c r="AC61" s="132"/>
      <c r="AD61" s="132"/>
      <c r="AE61" s="127"/>
      <c r="AF61" s="132"/>
      <c r="AG61" s="132"/>
      <c r="AH61" s="127"/>
      <c r="AI61" s="132"/>
      <c r="AJ61" s="132"/>
      <c r="AK61" s="127"/>
      <c r="AL61" s="132"/>
      <c r="AM61" s="132"/>
      <c r="AN61" s="127"/>
      <c r="AO61" s="132"/>
      <c r="AP61" s="132"/>
      <c r="AQ61" s="127"/>
      <c r="AR61" s="132"/>
      <c r="AS61" s="132"/>
      <c r="AT61" s="127"/>
      <c r="AU61" s="132"/>
      <c r="AV61" s="132"/>
      <c r="AW61" s="127"/>
      <c r="AX61" s="132"/>
      <c r="AY61" s="132"/>
      <c r="AZ61" s="127"/>
    </row>
    <row r="62" spans="1:52" ht="13">
      <c r="A62" s="102" t="s">
        <v>61</v>
      </c>
      <c r="B62" s="134"/>
      <c r="C62" s="132"/>
      <c r="D62" s="132"/>
      <c r="E62" s="132"/>
      <c r="F62" s="132"/>
      <c r="G62" s="132"/>
      <c r="H62" s="132"/>
      <c r="I62" s="132"/>
      <c r="J62" s="132"/>
      <c r="K62" s="132"/>
      <c r="L62" s="132"/>
      <c r="M62" s="132"/>
      <c r="N62" s="132"/>
      <c r="O62" s="132"/>
      <c r="P62" s="132"/>
      <c r="Q62" s="132"/>
      <c r="R62" s="132"/>
      <c r="S62" s="469"/>
      <c r="T62" s="132"/>
      <c r="U62" s="132"/>
      <c r="V62" s="469"/>
      <c r="W62" s="132"/>
      <c r="X62" s="132"/>
      <c r="Y62" s="469"/>
      <c r="Z62" s="132"/>
      <c r="AA62" s="132"/>
      <c r="AB62" s="469"/>
      <c r="AC62" s="132"/>
      <c r="AD62" s="132"/>
      <c r="AE62" s="469"/>
      <c r="AF62" s="132"/>
      <c r="AG62" s="132"/>
      <c r="AH62" s="469"/>
      <c r="AI62" s="132"/>
      <c r="AJ62" s="132"/>
      <c r="AK62" s="469"/>
      <c r="AL62" s="132"/>
      <c r="AM62" s="132"/>
      <c r="AN62" s="469"/>
      <c r="AO62" s="132"/>
      <c r="AP62" s="132"/>
      <c r="AQ62" s="469"/>
      <c r="AR62" s="132"/>
      <c r="AS62" s="132"/>
      <c r="AT62" s="469"/>
      <c r="AU62" s="132"/>
      <c r="AV62" s="132"/>
      <c r="AW62" s="469"/>
      <c r="AX62" s="132"/>
      <c r="AY62" s="132"/>
      <c r="AZ62" s="469"/>
    </row>
    <row r="63" spans="1:52" ht="13">
      <c r="A63" s="87"/>
      <c r="B63" s="264"/>
      <c r="C63" s="133"/>
      <c r="D63" s="133"/>
      <c r="E63" s="133"/>
      <c r="F63" s="133"/>
      <c r="G63" s="133"/>
      <c r="H63" s="133"/>
      <c r="I63" s="133"/>
      <c r="J63" s="133"/>
      <c r="K63" s="133"/>
      <c r="L63" s="133"/>
      <c r="M63" s="133"/>
      <c r="N63" s="133"/>
      <c r="O63" s="133"/>
      <c r="P63" s="133"/>
      <c r="Q63" s="133"/>
      <c r="R63" s="133"/>
      <c r="S63" s="95"/>
      <c r="T63" s="133"/>
      <c r="U63" s="133"/>
      <c r="V63" s="95"/>
      <c r="W63" s="133"/>
      <c r="X63" s="133"/>
      <c r="Y63" s="95"/>
      <c r="Z63" s="133"/>
      <c r="AA63" s="133"/>
      <c r="AB63" s="95"/>
      <c r="AC63" s="133"/>
      <c r="AD63" s="133"/>
      <c r="AE63" s="95"/>
      <c r="AF63" s="133"/>
      <c r="AG63" s="133"/>
      <c r="AH63" s="95"/>
      <c r="AI63" s="133"/>
      <c r="AJ63" s="133"/>
      <c r="AK63" s="95"/>
      <c r="AL63" s="133"/>
      <c r="AM63" s="133"/>
      <c r="AN63" s="95"/>
      <c r="AO63" s="133"/>
      <c r="AP63" s="133"/>
      <c r="AQ63" s="95"/>
      <c r="AR63" s="133"/>
      <c r="AS63" s="133"/>
      <c r="AT63" s="95"/>
      <c r="AU63" s="133"/>
      <c r="AV63" s="133"/>
      <c r="AW63" s="95"/>
      <c r="AX63" s="133"/>
      <c r="AY63" s="133"/>
      <c r="AZ63" s="553"/>
    </row>
    <row r="64" spans="1:52" ht="15.5">
      <c r="A64" s="96" t="s">
        <v>62</v>
      </c>
      <c r="B64" s="265"/>
      <c r="C64" s="131"/>
      <c r="D64" s="131"/>
      <c r="E64" s="131"/>
      <c r="F64" s="131"/>
      <c r="G64" s="131"/>
      <c r="H64" s="131"/>
      <c r="I64" s="131"/>
      <c r="J64" s="131"/>
      <c r="K64" s="131"/>
      <c r="L64" s="131"/>
      <c r="M64" s="131"/>
      <c r="N64" s="131"/>
      <c r="O64" s="131"/>
      <c r="P64" s="131"/>
      <c r="Q64" s="131"/>
      <c r="R64" s="131"/>
      <c r="S64" s="89"/>
      <c r="T64" s="131"/>
      <c r="U64" s="131"/>
      <c r="V64" s="89"/>
      <c r="W64" s="131"/>
      <c r="X64" s="131"/>
      <c r="Y64" s="89"/>
      <c r="Z64" s="132"/>
      <c r="AA64" s="131"/>
      <c r="AB64" s="89"/>
      <c r="AC64" s="131"/>
      <c r="AD64" s="131"/>
      <c r="AE64" s="89"/>
      <c r="AF64" s="131"/>
      <c r="AG64" s="131"/>
      <c r="AH64" s="89"/>
      <c r="AI64" s="131"/>
      <c r="AJ64" s="131"/>
      <c r="AK64" s="89"/>
      <c r="AL64" s="132"/>
      <c r="AM64" s="131"/>
      <c r="AN64" s="89"/>
      <c r="AO64" s="131"/>
      <c r="AP64" s="131"/>
      <c r="AQ64" s="89"/>
      <c r="AR64" s="131"/>
      <c r="AS64" s="131"/>
      <c r="AT64" s="89"/>
      <c r="AU64" s="131"/>
      <c r="AV64" s="131"/>
      <c r="AW64" s="89"/>
      <c r="AX64" s="131"/>
      <c r="AY64" s="131"/>
      <c r="AZ64" s="540"/>
    </row>
    <row r="65" spans="1:52" ht="13">
      <c r="A65" s="102" t="s">
        <v>63</v>
      </c>
      <c r="B65" s="134"/>
      <c r="C65" s="132"/>
      <c r="D65" s="132"/>
      <c r="E65" s="132"/>
      <c r="F65" s="132"/>
      <c r="G65" s="132"/>
      <c r="H65" s="132"/>
      <c r="I65" s="132"/>
      <c r="J65" s="132"/>
      <c r="K65" s="132"/>
      <c r="L65" s="132"/>
      <c r="M65" s="132"/>
      <c r="N65" s="132"/>
      <c r="O65" s="132"/>
      <c r="P65" s="132"/>
      <c r="Q65" s="132"/>
      <c r="R65" s="132"/>
      <c r="S65" s="90">
        <f>SUM(S66,S71,S74)</f>
        <v>0</v>
      </c>
      <c r="T65" s="132"/>
      <c r="U65" s="132"/>
      <c r="V65" s="90">
        <f t="shared" ref="V65:AT65" si="27">SUM(V66,V71,V74)</f>
        <v>0</v>
      </c>
      <c r="W65" s="132"/>
      <c r="X65" s="132"/>
      <c r="Y65" s="90">
        <f t="shared" si="27"/>
        <v>0</v>
      </c>
      <c r="Z65" s="132"/>
      <c r="AA65" s="132"/>
      <c r="AB65" s="90">
        <f t="shared" si="27"/>
        <v>0</v>
      </c>
      <c r="AC65" s="132"/>
      <c r="AD65" s="132"/>
      <c r="AE65" s="90">
        <f t="shared" si="27"/>
        <v>0</v>
      </c>
      <c r="AF65" s="132"/>
      <c r="AG65" s="132"/>
      <c r="AH65" s="90">
        <f t="shared" si="27"/>
        <v>0</v>
      </c>
      <c r="AI65" s="132"/>
      <c r="AJ65" s="132"/>
      <c r="AK65" s="90">
        <f t="shared" si="27"/>
        <v>0</v>
      </c>
      <c r="AL65" s="132"/>
      <c r="AM65" s="132"/>
      <c r="AN65" s="90">
        <f t="shared" si="27"/>
        <v>0</v>
      </c>
      <c r="AO65" s="132"/>
      <c r="AP65" s="132"/>
      <c r="AQ65" s="90">
        <f t="shared" si="27"/>
        <v>0</v>
      </c>
      <c r="AR65" s="132"/>
      <c r="AS65" s="132"/>
      <c r="AT65" s="90">
        <f t="shared" si="27"/>
        <v>0</v>
      </c>
      <c r="AU65" s="132"/>
      <c r="AV65" s="132"/>
      <c r="AW65" s="90">
        <f t="shared" ref="AW65" si="28">SUM(AW66,AW71,AW74)</f>
        <v>0</v>
      </c>
      <c r="AX65" s="132"/>
      <c r="AY65" s="132"/>
      <c r="AZ65" s="90">
        <f t="shared" ref="AZ65" si="29">SUM(AZ66,AZ71,AZ74)</f>
        <v>0</v>
      </c>
    </row>
    <row r="66" spans="1:52" ht="13">
      <c r="A66" s="102" t="s">
        <v>64</v>
      </c>
      <c r="B66" s="134"/>
      <c r="C66" s="132"/>
      <c r="D66" s="132"/>
      <c r="E66" s="132"/>
      <c r="F66" s="132"/>
      <c r="G66" s="132"/>
      <c r="H66" s="132"/>
      <c r="I66" s="132"/>
      <c r="J66" s="132"/>
      <c r="K66" s="132"/>
      <c r="L66" s="132"/>
      <c r="M66" s="132"/>
      <c r="N66" s="132"/>
      <c r="O66" s="132"/>
      <c r="P66" s="132"/>
      <c r="Q66" s="132"/>
      <c r="R66" s="132"/>
      <c r="S66" s="90">
        <f>SUM(S67:S70)</f>
        <v>0</v>
      </c>
      <c r="T66" s="132"/>
      <c r="U66" s="132"/>
      <c r="V66" s="90">
        <f t="shared" ref="V66:AT66" si="30">SUM(V67:V70)</f>
        <v>0</v>
      </c>
      <c r="W66" s="132"/>
      <c r="X66" s="132"/>
      <c r="Y66" s="90">
        <f t="shared" si="30"/>
        <v>0</v>
      </c>
      <c r="Z66" s="132"/>
      <c r="AA66" s="132"/>
      <c r="AB66" s="90">
        <f t="shared" si="30"/>
        <v>0</v>
      </c>
      <c r="AC66" s="132"/>
      <c r="AD66" s="132"/>
      <c r="AE66" s="90">
        <f t="shared" si="30"/>
        <v>0</v>
      </c>
      <c r="AF66" s="132"/>
      <c r="AG66" s="132"/>
      <c r="AH66" s="90">
        <f t="shared" si="30"/>
        <v>0</v>
      </c>
      <c r="AI66" s="132"/>
      <c r="AJ66" s="132"/>
      <c r="AK66" s="90">
        <f t="shared" si="30"/>
        <v>0</v>
      </c>
      <c r="AL66" s="132"/>
      <c r="AM66" s="132"/>
      <c r="AN66" s="90">
        <f t="shared" si="30"/>
        <v>0</v>
      </c>
      <c r="AO66" s="132"/>
      <c r="AP66" s="132"/>
      <c r="AQ66" s="90">
        <f t="shared" si="30"/>
        <v>0</v>
      </c>
      <c r="AR66" s="132"/>
      <c r="AS66" s="132"/>
      <c r="AT66" s="90">
        <f t="shared" si="30"/>
        <v>0</v>
      </c>
      <c r="AU66" s="132"/>
      <c r="AV66" s="132"/>
      <c r="AW66" s="90">
        <f t="shared" ref="AW66" si="31">SUM(AW67:AW70)</f>
        <v>0</v>
      </c>
      <c r="AX66" s="132"/>
      <c r="AY66" s="132"/>
      <c r="AZ66" s="90">
        <f t="shared" ref="AZ66" si="32">SUM(AZ67:AZ70)</f>
        <v>0</v>
      </c>
    </row>
    <row r="67" spans="1:52" ht="13">
      <c r="A67" s="102" t="s">
        <v>65</v>
      </c>
      <c r="B67" s="134"/>
      <c r="C67" s="132"/>
      <c r="D67" s="132"/>
      <c r="E67" s="132"/>
      <c r="F67" s="132"/>
      <c r="G67" s="132"/>
      <c r="H67" s="132"/>
      <c r="I67" s="132"/>
      <c r="J67" s="132"/>
      <c r="K67" s="132"/>
      <c r="L67" s="132"/>
      <c r="M67" s="132"/>
      <c r="N67" s="132"/>
      <c r="O67" s="132"/>
      <c r="P67" s="132"/>
      <c r="Q67" s="132"/>
      <c r="R67" s="132"/>
      <c r="S67" s="127"/>
      <c r="T67" s="132"/>
      <c r="U67" s="132"/>
      <c r="V67" s="127"/>
      <c r="W67" s="132"/>
      <c r="X67" s="132"/>
      <c r="Y67" s="127"/>
      <c r="Z67" s="132"/>
      <c r="AA67" s="132"/>
      <c r="AB67" s="127"/>
      <c r="AC67" s="132"/>
      <c r="AD67" s="132"/>
      <c r="AE67" s="127"/>
      <c r="AF67" s="132"/>
      <c r="AG67" s="132"/>
      <c r="AH67" s="127"/>
      <c r="AI67" s="132"/>
      <c r="AJ67" s="132"/>
      <c r="AK67" s="127"/>
      <c r="AL67" s="132"/>
      <c r="AM67" s="132"/>
      <c r="AN67" s="127"/>
      <c r="AO67" s="132"/>
      <c r="AP67" s="132"/>
      <c r="AQ67" s="127"/>
      <c r="AR67" s="132"/>
      <c r="AS67" s="132"/>
      <c r="AT67" s="127"/>
      <c r="AU67" s="132"/>
      <c r="AV67" s="132"/>
      <c r="AW67" s="127"/>
      <c r="AX67" s="132"/>
      <c r="AY67" s="132"/>
      <c r="AZ67" s="127"/>
    </row>
    <row r="68" spans="1:52" ht="13">
      <c r="A68" s="102" t="s">
        <v>66</v>
      </c>
      <c r="B68" s="134"/>
      <c r="C68" s="132"/>
      <c r="D68" s="132"/>
      <c r="E68" s="132"/>
      <c r="F68" s="132"/>
      <c r="G68" s="132"/>
      <c r="H68" s="132"/>
      <c r="I68" s="132"/>
      <c r="J68" s="132"/>
      <c r="K68" s="132"/>
      <c r="L68" s="132"/>
      <c r="M68" s="132"/>
      <c r="N68" s="132"/>
      <c r="O68" s="132"/>
      <c r="P68" s="132"/>
      <c r="Q68" s="132"/>
      <c r="R68" s="132"/>
      <c r="S68" s="127"/>
      <c r="T68" s="132"/>
      <c r="U68" s="132"/>
      <c r="V68" s="127"/>
      <c r="W68" s="132"/>
      <c r="X68" s="132"/>
      <c r="Y68" s="127"/>
      <c r="Z68" s="132"/>
      <c r="AA68" s="132"/>
      <c r="AB68" s="127"/>
      <c r="AC68" s="132"/>
      <c r="AD68" s="132"/>
      <c r="AE68" s="127"/>
      <c r="AF68" s="132"/>
      <c r="AG68" s="132"/>
      <c r="AH68" s="127"/>
      <c r="AI68" s="132"/>
      <c r="AJ68" s="132"/>
      <c r="AK68" s="127"/>
      <c r="AL68" s="132"/>
      <c r="AM68" s="132"/>
      <c r="AN68" s="127"/>
      <c r="AO68" s="132"/>
      <c r="AP68" s="132"/>
      <c r="AQ68" s="127"/>
      <c r="AR68" s="132"/>
      <c r="AS68" s="132"/>
      <c r="AT68" s="127"/>
      <c r="AU68" s="132"/>
      <c r="AV68" s="132"/>
      <c r="AW68" s="127"/>
      <c r="AX68" s="132"/>
      <c r="AY68" s="132"/>
      <c r="AZ68" s="127"/>
    </row>
    <row r="69" spans="1:52" ht="13">
      <c r="A69" s="102" t="s">
        <v>67</v>
      </c>
      <c r="B69" s="134"/>
      <c r="C69" s="132"/>
      <c r="D69" s="132"/>
      <c r="E69" s="132"/>
      <c r="F69" s="132"/>
      <c r="G69" s="132"/>
      <c r="H69" s="132"/>
      <c r="I69" s="132"/>
      <c r="J69" s="132"/>
      <c r="K69" s="132"/>
      <c r="L69" s="132"/>
      <c r="M69" s="132"/>
      <c r="N69" s="132"/>
      <c r="O69" s="132"/>
      <c r="P69" s="132"/>
      <c r="Q69" s="132"/>
      <c r="R69" s="132"/>
      <c r="S69" s="127"/>
      <c r="T69" s="132"/>
      <c r="U69" s="132"/>
      <c r="V69" s="127"/>
      <c r="W69" s="132"/>
      <c r="X69" s="132"/>
      <c r="Y69" s="127"/>
      <c r="Z69" s="132"/>
      <c r="AA69" s="132"/>
      <c r="AB69" s="127"/>
      <c r="AC69" s="132"/>
      <c r="AD69" s="132"/>
      <c r="AE69" s="127"/>
      <c r="AF69" s="132"/>
      <c r="AG69" s="132"/>
      <c r="AH69" s="127"/>
      <c r="AI69" s="132"/>
      <c r="AJ69" s="132"/>
      <c r="AK69" s="127"/>
      <c r="AL69" s="132"/>
      <c r="AM69" s="132"/>
      <c r="AN69" s="127"/>
      <c r="AO69" s="132"/>
      <c r="AP69" s="132"/>
      <c r="AQ69" s="127"/>
      <c r="AR69" s="132"/>
      <c r="AS69" s="132"/>
      <c r="AT69" s="127"/>
      <c r="AU69" s="132"/>
      <c r="AV69" s="132"/>
      <c r="AW69" s="127"/>
      <c r="AX69" s="132"/>
      <c r="AY69" s="132"/>
      <c r="AZ69" s="127"/>
    </row>
    <row r="70" spans="1:52" ht="13">
      <c r="A70" s="102" t="s">
        <v>68</v>
      </c>
      <c r="B70" s="134"/>
      <c r="C70" s="132"/>
      <c r="D70" s="132"/>
      <c r="E70" s="132"/>
      <c r="F70" s="132"/>
      <c r="G70" s="132"/>
      <c r="H70" s="132"/>
      <c r="I70" s="132"/>
      <c r="J70" s="132"/>
      <c r="K70" s="132"/>
      <c r="L70" s="132"/>
      <c r="M70" s="132"/>
      <c r="N70" s="132"/>
      <c r="O70" s="132"/>
      <c r="P70" s="132"/>
      <c r="Q70" s="132"/>
      <c r="R70" s="132"/>
      <c r="S70" s="127"/>
      <c r="T70" s="132"/>
      <c r="U70" s="132"/>
      <c r="V70" s="127"/>
      <c r="W70" s="132"/>
      <c r="X70" s="132"/>
      <c r="Y70" s="127"/>
      <c r="Z70" s="132"/>
      <c r="AA70" s="132"/>
      <c r="AB70" s="127"/>
      <c r="AC70" s="132"/>
      <c r="AD70" s="132"/>
      <c r="AE70" s="127"/>
      <c r="AF70" s="132"/>
      <c r="AG70" s="132"/>
      <c r="AH70" s="127"/>
      <c r="AI70" s="132"/>
      <c r="AJ70" s="132"/>
      <c r="AK70" s="127"/>
      <c r="AL70" s="132"/>
      <c r="AM70" s="132"/>
      <c r="AN70" s="127"/>
      <c r="AO70" s="132"/>
      <c r="AP70" s="132"/>
      <c r="AQ70" s="127"/>
      <c r="AR70" s="132"/>
      <c r="AS70" s="132"/>
      <c r="AT70" s="127"/>
      <c r="AU70" s="132"/>
      <c r="AV70" s="132"/>
      <c r="AW70" s="127"/>
      <c r="AX70" s="132"/>
      <c r="AY70" s="132"/>
      <c r="AZ70" s="127"/>
    </row>
    <row r="71" spans="1:52" ht="13">
      <c r="A71" s="102" t="s">
        <v>69</v>
      </c>
      <c r="B71" s="134"/>
      <c r="C71" s="132"/>
      <c r="D71" s="132"/>
      <c r="E71" s="132"/>
      <c r="F71" s="132"/>
      <c r="G71" s="132"/>
      <c r="H71" s="132"/>
      <c r="I71" s="132"/>
      <c r="J71" s="132"/>
      <c r="K71" s="132"/>
      <c r="L71" s="132"/>
      <c r="M71" s="132"/>
      <c r="N71" s="132"/>
      <c r="O71" s="132"/>
      <c r="P71" s="132"/>
      <c r="Q71" s="132"/>
      <c r="R71" s="132"/>
      <c r="S71" s="115">
        <f>SUM(S72:S73)</f>
        <v>0</v>
      </c>
      <c r="T71" s="132"/>
      <c r="U71" s="132"/>
      <c r="V71" s="115">
        <f t="shared" ref="V71:AT71" si="33">SUM(V72:V73)</f>
        <v>0</v>
      </c>
      <c r="W71" s="132"/>
      <c r="X71" s="132"/>
      <c r="Y71" s="115">
        <f t="shared" si="33"/>
        <v>0</v>
      </c>
      <c r="Z71" s="132"/>
      <c r="AA71" s="132"/>
      <c r="AB71" s="115">
        <f t="shared" si="33"/>
        <v>0</v>
      </c>
      <c r="AC71" s="132"/>
      <c r="AD71" s="132"/>
      <c r="AE71" s="115">
        <f t="shared" si="33"/>
        <v>0</v>
      </c>
      <c r="AF71" s="132"/>
      <c r="AG71" s="132"/>
      <c r="AH71" s="115">
        <f t="shared" si="33"/>
        <v>0</v>
      </c>
      <c r="AI71" s="132"/>
      <c r="AJ71" s="132"/>
      <c r="AK71" s="115">
        <f t="shared" si="33"/>
        <v>0</v>
      </c>
      <c r="AL71" s="132"/>
      <c r="AM71" s="132"/>
      <c r="AN71" s="115">
        <f t="shared" si="33"/>
        <v>0</v>
      </c>
      <c r="AO71" s="132"/>
      <c r="AP71" s="132"/>
      <c r="AQ71" s="115">
        <f t="shared" si="33"/>
        <v>0</v>
      </c>
      <c r="AR71" s="132"/>
      <c r="AS71" s="132"/>
      <c r="AT71" s="115">
        <f t="shared" si="33"/>
        <v>0</v>
      </c>
      <c r="AU71" s="132"/>
      <c r="AV71" s="132"/>
      <c r="AW71" s="115">
        <f t="shared" ref="AW71" si="34">SUM(AW72:AW73)</f>
        <v>0</v>
      </c>
      <c r="AX71" s="132"/>
      <c r="AY71" s="132"/>
      <c r="AZ71" s="115">
        <f t="shared" ref="AZ71" si="35">SUM(AZ72:AZ73)</f>
        <v>0</v>
      </c>
    </row>
    <row r="72" spans="1:52" ht="13">
      <c r="A72" s="102" t="s">
        <v>70</v>
      </c>
      <c r="B72" s="134"/>
      <c r="C72" s="132"/>
      <c r="D72" s="132"/>
      <c r="E72" s="132"/>
      <c r="F72" s="132"/>
      <c r="G72" s="132"/>
      <c r="H72" s="132"/>
      <c r="I72" s="132"/>
      <c r="J72" s="132"/>
      <c r="K72" s="132"/>
      <c r="L72" s="132"/>
      <c r="M72" s="132"/>
      <c r="N72" s="132"/>
      <c r="O72" s="132"/>
      <c r="P72" s="132"/>
      <c r="Q72" s="132"/>
      <c r="R72" s="132"/>
      <c r="S72" s="127"/>
      <c r="T72" s="132"/>
      <c r="U72" s="132"/>
      <c r="V72" s="127"/>
      <c r="W72" s="132"/>
      <c r="X72" s="132"/>
      <c r="Y72" s="127"/>
      <c r="Z72" s="132"/>
      <c r="AA72" s="132"/>
      <c r="AB72" s="127"/>
      <c r="AC72" s="132"/>
      <c r="AD72" s="132"/>
      <c r="AE72" s="127"/>
      <c r="AF72" s="132"/>
      <c r="AG72" s="132"/>
      <c r="AH72" s="127"/>
      <c r="AI72" s="132"/>
      <c r="AJ72" s="132"/>
      <c r="AK72" s="127"/>
      <c r="AL72" s="132"/>
      <c r="AM72" s="132"/>
      <c r="AN72" s="127"/>
      <c r="AO72" s="132"/>
      <c r="AP72" s="132"/>
      <c r="AQ72" s="127"/>
      <c r="AR72" s="132"/>
      <c r="AS72" s="132"/>
      <c r="AT72" s="127"/>
      <c r="AU72" s="132"/>
      <c r="AV72" s="132"/>
      <c r="AW72" s="127"/>
      <c r="AX72" s="132"/>
      <c r="AY72" s="132"/>
      <c r="AZ72" s="127"/>
    </row>
    <row r="73" spans="1:52" ht="13">
      <c r="A73" s="102" t="s">
        <v>71</v>
      </c>
      <c r="B73" s="134"/>
      <c r="C73" s="132"/>
      <c r="D73" s="132"/>
      <c r="E73" s="132"/>
      <c r="F73" s="132"/>
      <c r="G73" s="132"/>
      <c r="H73" s="132"/>
      <c r="I73" s="132"/>
      <c r="J73" s="132"/>
      <c r="K73" s="132"/>
      <c r="L73" s="132"/>
      <c r="M73" s="132"/>
      <c r="N73" s="132"/>
      <c r="O73" s="132"/>
      <c r="P73" s="132"/>
      <c r="Q73" s="132"/>
      <c r="R73" s="132"/>
      <c r="S73" s="127"/>
      <c r="T73" s="132"/>
      <c r="U73" s="132"/>
      <c r="V73" s="127"/>
      <c r="W73" s="132"/>
      <c r="X73" s="132"/>
      <c r="Y73" s="127"/>
      <c r="Z73" s="132"/>
      <c r="AA73" s="132"/>
      <c r="AB73" s="127"/>
      <c r="AC73" s="132"/>
      <c r="AD73" s="132"/>
      <c r="AE73" s="127"/>
      <c r="AF73" s="132"/>
      <c r="AG73" s="132"/>
      <c r="AH73" s="127"/>
      <c r="AI73" s="132"/>
      <c r="AJ73" s="132"/>
      <c r="AK73" s="127"/>
      <c r="AL73" s="132"/>
      <c r="AM73" s="132"/>
      <c r="AN73" s="127"/>
      <c r="AO73" s="132"/>
      <c r="AP73" s="132"/>
      <c r="AQ73" s="127"/>
      <c r="AR73" s="132"/>
      <c r="AS73" s="132"/>
      <c r="AT73" s="127"/>
      <c r="AU73" s="132"/>
      <c r="AV73" s="132"/>
      <c r="AW73" s="127"/>
      <c r="AX73" s="132"/>
      <c r="AY73" s="132"/>
      <c r="AZ73" s="127"/>
    </row>
    <row r="74" spans="1:52" ht="13">
      <c r="A74" s="102" t="s">
        <v>72</v>
      </c>
      <c r="B74" s="134"/>
      <c r="C74" s="132"/>
      <c r="D74" s="132"/>
      <c r="E74" s="132"/>
      <c r="F74" s="132"/>
      <c r="G74" s="132"/>
      <c r="H74" s="132"/>
      <c r="I74" s="132"/>
      <c r="J74" s="132"/>
      <c r="K74" s="132"/>
      <c r="L74" s="132"/>
      <c r="M74" s="132"/>
      <c r="N74" s="132"/>
      <c r="O74" s="132"/>
      <c r="P74" s="132"/>
      <c r="Q74" s="132"/>
      <c r="R74" s="132"/>
      <c r="S74" s="469"/>
      <c r="T74" s="132"/>
      <c r="U74" s="132"/>
      <c r="V74" s="469"/>
      <c r="W74" s="132"/>
      <c r="X74" s="132"/>
      <c r="Y74" s="469"/>
      <c r="Z74" s="132"/>
      <c r="AA74" s="132"/>
      <c r="AB74" s="469"/>
      <c r="AC74" s="132"/>
      <c r="AD74" s="132"/>
      <c r="AE74" s="469"/>
      <c r="AF74" s="132"/>
      <c r="AG74" s="132"/>
      <c r="AH74" s="469"/>
      <c r="AI74" s="132"/>
      <c r="AJ74" s="132"/>
      <c r="AK74" s="469"/>
      <c r="AL74" s="132"/>
      <c r="AM74" s="132"/>
      <c r="AN74" s="469"/>
      <c r="AO74" s="132"/>
      <c r="AP74" s="132"/>
      <c r="AQ74" s="469"/>
      <c r="AR74" s="132"/>
      <c r="AS74" s="132"/>
      <c r="AT74" s="469"/>
      <c r="AU74" s="132"/>
      <c r="AV74" s="132"/>
      <c r="AW74" s="469"/>
      <c r="AX74" s="132"/>
      <c r="AY74" s="132"/>
      <c r="AZ74" s="469"/>
    </row>
    <row r="75" spans="1:52" ht="13">
      <c r="A75" s="85"/>
      <c r="B75" s="265"/>
      <c r="C75" s="131"/>
      <c r="D75" s="131"/>
      <c r="E75" s="131"/>
      <c r="F75" s="131"/>
      <c r="G75" s="131"/>
      <c r="H75" s="131"/>
      <c r="I75" s="131"/>
      <c r="J75" s="131"/>
      <c r="K75" s="131"/>
      <c r="L75" s="131"/>
      <c r="M75" s="131"/>
      <c r="N75" s="131"/>
      <c r="O75" s="131"/>
      <c r="P75" s="131"/>
      <c r="Q75" s="131"/>
      <c r="R75" s="131"/>
      <c r="S75" s="116"/>
      <c r="T75" s="131"/>
      <c r="U75" s="131"/>
      <c r="V75" s="117"/>
      <c r="W75" s="131"/>
      <c r="X75" s="131"/>
      <c r="Y75" s="117"/>
      <c r="Z75" s="132"/>
      <c r="AA75" s="131"/>
      <c r="AB75" s="117"/>
      <c r="AC75" s="131"/>
      <c r="AD75" s="131"/>
      <c r="AE75" s="117"/>
      <c r="AF75" s="131"/>
      <c r="AG75" s="131"/>
      <c r="AH75" s="117"/>
      <c r="AI75" s="131"/>
      <c r="AJ75" s="131"/>
      <c r="AK75" s="117"/>
      <c r="AL75" s="132"/>
      <c r="AM75" s="131"/>
      <c r="AN75" s="117"/>
      <c r="AO75" s="131"/>
      <c r="AP75" s="131"/>
      <c r="AQ75" s="117"/>
      <c r="AR75" s="131"/>
      <c r="AS75" s="131"/>
      <c r="AT75" s="117"/>
      <c r="AU75" s="131"/>
      <c r="AV75" s="131"/>
      <c r="AW75" s="117"/>
      <c r="AX75" s="131"/>
      <c r="AY75" s="131"/>
      <c r="AZ75" s="554"/>
    </row>
    <row r="76" spans="1:52" ht="13">
      <c r="A76" s="102" t="s">
        <v>73</v>
      </c>
      <c r="B76" s="134"/>
      <c r="C76" s="132"/>
      <c r="D76" s="132"/>
      <c r="E76" s="132"/>
      <c r="F76" s="132"/>
      <c r="G76" s="132"/>
      <c r="H76" s="132"/>
      <c r="I76" s="132"/>
      <c r="J76" s="132"/>
      <c r="K76" s="132"/>
      <c r="L76" s="132"/>
      <c r="M76" s="132"/>
      <c r="N76" s="132"/>
      <c r="O76" s="132"/>
      <c r="P76" s="132"/>
      <c r="Q76" s="132"/>
      <c r="R76" s="132"/>
      <c r="S76" s="126"/>
      <c r="T76" s="132"/>
      <c r="U76" s="132"/>
      <c r="V76" s="126"/>
      <c r="W76" s="132"/>
      <c r="X76" s="132"/>
      <c r="Y76" s="126"/>
      <c r="Z76" s="132"/>
      <c r="AA76" s="132"/>
      <c r="AB76" s="126"/>
      <c r="AC76" s="132"/>
      <c r="AD76" s="132"/>
      <c r="AE76" s="126"/>
      <c r="AF76" s="132"/>
      <c r="AG76" s="132"/>
      <c r="AH76" s="126"/>
      <c r="AI76" s="132"/>
      <c r="AJ76" s="132"/>
      <c r="AK76" s="126"/>
      <c r="AL76" s="132"/>
      <c r="AM76" s="132"/>
      <c r="AN76" s="126"/>
      <c r="AO76" s="132"/>
      <c r="AP76" s="132"/>
      <c r="AQ76" s="126"/>
      <c r="AR76" s="132"/>
      <c r="AS76" s="132"/>
      <c r="AT76" s="126"/>
      <c r="AU76" s="132"/>
      <c r="AV76" s="132"/>
      <c r="AW76" s="126"/>
      <c r="AX76" s="132"/>
      <c r="AY76" s="132"/>
      <c r="AZ76" s="126"/>
    </row>
    <row r="77" spans="1:52" ht="13">
      <c r="A77" s="102" t="s">
        <v>74</v>
      </c>
      <c r="B77" s="134"/>
      <c r="C77" s="132"/>
      <c r="D77" s="132"/>
      <c r="E77" s="132"/>
      <c r="F77" s="132"/>
      <c r="G77" s="132"/>
      <c r="H77" s="132"/>
      <c r="I77" s="132"/>
      <c r="J77" s="132"/>
      <c r="K77" s="132"/>
      <c r="L77" s="132"/>
      <c r="M77" s="132"/>
      <c r="N77" s="132"/>
      <c r="O77" s="132"/>
      <c r="P77" s="132"/>
      <c r="Q77" s="132"/>
      <c r="R77" s="132"/>
      <c r="S77" s="127"/>
      <c r="T77" s="132"/>
      <c r="U77" s="132"/>
      <c r="V77" s="127"/>
      <c r="W77" s="132"/>
      <c r="X77" s="132"/>
      <c r="Y77" s="127"/>
      <c r="Z77" s="132"/>
      <c r="AA77" s="132"/>
      <c r="AB77" s="127"/>
      <c r="AC77" s="132"/>
      <c r="AD77" s="132"/>
      <c r="AE77" s="127"/>
      <c r="AF77" s="132"/>
      <c r="AG77" s="132"/>
      <c r="AH77" s="127"/>
      <c r="AI77" s="132"/>
      <c r="AJ77" s="132"/>
      <c r="AK77" s="127"/>
      <c r="AL77" s="132"/>
      <c r="AM77" s="132"/>
      <c r="AN77" s="127"/>
      <c r="AO77" s="132"/>
      <c r="AP77" s="132"/>
      <c r="AQ77" s="127"/>
      <c r="AR77" s="132"/>
      <c r="AS77" s="132"/>
      <c r="AT77" s="127"/>
      <c r="AU77" s="132"/>
      <c r="AV77" s="132"/>
      <c r="AW77" s="127"/>
      <c r="AX77" s="132"/>
      <c r="AY77" s="132"/>
      <c r="AZ77" s="127"/>
    </row>
    <row r="78" spans="1:52" ht="13">
      <c r="A78" s="102" t="s">
        <v>75</v>
      </c>
      <c r="B78" s="134"/>
      <c r="C78" s="132"/>
      <c r="D78" s="132"/>
      <c r="E78" s="132"/>
      <c r="F78" s="132"/>
      <c r="G78" s="132"/>
      <c r="H78" s="132"/>
      <c r="I78" s="132"/>
      <c r="J78" s="132"/>
      <c r="K78" s="132"/>
      <c r="L78" s="132"/>
      <c r="M78" s="132"/>
      <c r="N78" s="132"/>
      <c r="O78" s="132"/>
      <c r="P78" s="132"/>
      <c r="Q78" s="132"/>
      <c r="R78" s="132"/>
      <c r="S78" s="127"/>
      <c r="T78" s="132"/>
      <c r="U78" s="132"/>
      <c r="V78" s="127"/>
      <c r="W78" s="132"/>
      <c r="X78" s="132"/>
      <c r="Y78" s="127"/>
      <c r="Z78" s="132"/>
      <c r="AA78" s="132"/>
      <c r="AB78" s="127"/>
      <c r="AC78" s="132"/>
      <c r="AD78" s="132"/>
      <c r="AE78" s="127"/>
      <c r="AF78" s="132"/>
      <c r="AG78" s="132"/>
      <c r="AH78" s="127"/>
      <c r="AI78" s="132"/>
      <c r="AJ78" s="132"/>
      <c r="AK78" s="127"/>
      <c r="AL78" s="132"/>
      <c r="AM78" s="132"/>
      <c r="AN78" s="127"/>
      <c r="AO78" s="132"/>
      <c r="AP78" s="132"/>
      <c r="AQ78" s="127"/>
      <c r="AR78" s="132"/>
      <c r="AS78" s="132"/>
      <c r="AT78" s="127"/>
      <c r="AU78" s="132"/>
      <c r="AV78" s="132"/>
      <c r="AW78" s="127"/>
      <c r="AX78" s="132"/>
      <c r="AY78" s="132"/>
      <c r="AZ78" s="127"/>
    </row>
    <row r="79" spans="1:52" ht="13">
      <c r="A79" s="102" t="s">
        <v>76</v>
      </c>
      <c r="B79" s="134"/>
      <c r="C79" s="132"/>
      <c r="D79" s="132"/>
      <c r="E79" s="132"/>
      <c r="F79" s="132"/>
      <c r="G79" s="132"/>
      <c r="H79" s="132"/>
      <c r="I79" s="132"/>
      <c r="J79" s="132"/>
      <c r="K79" s="132"/>
      <c r="L79" s="132"/>
      <c r="M79" s="132"/>
      <c r="N79" s="132"/>
      <c r="O79" s="132"/>
      <c r="P79" s="132"/>
      <c r="Q79" s="132"/>
      <c r="R79" s="132"/>
      <c r="S79" s="127"/>
      <c r="T79" s="132"/>
      <c r="U79" s="132"/>
      <c r="V79" s="127"/>
      <c r="W79" s="132"/>
      <c r="X79" s="132"/>
      <c r="Y79" s="127"/>
      <c r="Z79" s="132"/>
      <c r="AA79" s="132"/>
      <c r="AB79" s="127"/>
      <c r="AC79" s="132"/>
      <c r="AD79" s="132"/>
      <c r="AE79" s="127"/>
      <c r="AF79" s="132"/>
      <c r="AG79" s="132"/>
      <c r="AH79" s="127"/>
      <c r="AI79" s="132"/>
      <c r="AJ79" s="132"/>
      <c r="AK79" s="127"/>
      <c r="AL79" s="132"/>
      <c r="AM79" s="132"/>
      <c r="AN79" s="127"/>
      <c r="AO79" s="132"/>
      <c r="AP79" s="132"/>
      <c r="AQ79" s="127"/>
      <c r="AR79" s="132"/>
      <c r="AS79" s="132"/>
      <c r="AT79" s="127"/>
      <c r="AU79" s="132"/>
      <c r="AV79" s="132"/>
      <c r="AW79" s="127"/>
      <c r="AX79" s="132"/>
      <c r="AY79" s="132"/>
      <c r="AZ79" s="127"/>
    </row>
    <row r="80" spans="1:52" ht="13">
      <c r="A80" s="102" t="s">
        <v>77</v>
      </c>
      <c r="B80" s="134"/>
      <c r="C80" s="132"/>
      <c r="D80" s="132"/>
      <c r="E80" s="132"/>
      <c r="F80" s="132"/>
      <c r="G80" s="132"/>
      <c r="H80" s="132"/>
      <c r="I80" s="132"/>
      <c r="J80" s="132"/>
      <c r="K80" s="132"/>
      <c r="L80" s="132"/>
      <c r="M80" s="132"/>
      <c r="N80" s="132"/>
      <c r="O80" s="132"/>
      <c r="P80" s="132"/>
      <c r="Q80" s="132"/>
      <c r="R80" s="132"/>
      <c r="S80" s="127"/>
      <c r="T80" s="132"/>
      <c r="U80" s="132"/>
      <c r="V80" s="127"/>
      <c r="W80" s="132"/>
      <c r="X80" s="132"/>
      <c r="Y80" s="127"/>
      <c r="Z80" s="132"/>
      <c r="AA80" s="132"/>
      <c r="AB80" s="127"/>
      <c r="AC80" s="132"/>
      <c r="AD80" s="132"/>
      <c r="AE80" s="127"/>
      <c r="AF80" s="132"/>
      <c r="AG80" s="132"/>
      <c r="AH80" s="127"/>
      <c r="AI80" s="132"/>
      <c r="AJ80" s="132"/>
      <c r="AK80" s="127"/>
      <c r="AL80" s="132"/>
      <c r="AM80" s="132"/>
      <c r="AN80" s="127"/>
      <c r="AO80" s="132"/>
      <c r="AP80" s="132"/>
      <c r="AQ80" s="127"/>
      <c r="AR80" s="132"/>
      <c r="AS80" s="132"/>
      <c r="AT80" s="127"/>
      <c r="AU80" s="132"/>
      <c r="AV80" s="132"/>
      <c r="AW80" s="127"/>
      <c r="AX80" s="132"/>
      <c r="AY80" s="132"/>
      <c r="AZ80" s="127"/>
    </row>
    <row r="81" spans="1:52" ht="13">
      <c r="A81" s="102" t="s">
        <v>78</v>
      </c>
      <c r="B81" s="134"/>
      <c r="C81" s="132"/>
      <c r="D81" s="132"/>
      <c r="E81" s="132"/>
      <c r="F81" s="132"/>
      <c r="G81" s="132"/>
      <c r="H81" s="132"/>
      <c r="I81" s="132"/>
      <c r="J81" s="132"/>
      <c r="K81" s="132"/>
      <c r="L81" s="132"/>
      <c r="M81" s="132"/>
      <c r="N81" s="132"/>
      <c r="O81" s="132"/>
      <c r="P81" s="132"/>
      <c r="Q81" s="132"/>
      <c r="R81" s="132"/>
      <c r="S81" s="469"/>
      <c r="T81" s="132"/>
      <c r="U81" s="132"/>
      <c r="V81" s="469"/>
      <c r="W81" s="132"/>
      <c r="X81" s="132"/>
      <c r="Y81" s="469"/>
      <c r="Z81" s="132"/>
      <c r="AA81" s="132"/>
      <c r="AB81" s="469"/>
      <c r="AC81" s="132"/>
      <c r="AD81" s="132"/>
      <c r="AE81" s="469"/>
      <c r="AF81" s="132"/>
      <c r="AG81" s="132"/>
      <c r="AH81" s="469"/>
      <c r="AI81" s="132"/>
      <c r="AJ81" s="132"/>
      <c r="AK81" s="469"/>
      <c r="AL81" s="132"/>
      <c r="AM81" s="132"/>
      <c r="AN81" s="469"/>
      <c r="AO81" s="132"/>
      <c r="AP81" s="132"/>
      <c r="AQ81" s="469"/>
      <c r="AR81" s="132"/>
      <c r="AS81" s="132"/>
      <c r="AT81" s="469"/>
      <c r="AU81" s="132"/>
      <c r="AV81" s="132"/>
      <c r="AW81" s="469"/>
      <c r="AX81" s="132"/>
      <c r="AY81" s="132"/>
      <c r="AZ81" s="469"/>
    </row>
    <row r="82" spans="1:52" ht="13">
      <c r="A82" s="85"/>
      <c r="B82" s="266"/>
      <c r="C82" s="128"/>
      <c r="D82" s="128"/>
      <c r="E82" s="128"/>
      <c r="F82" s="128"/>
      <c r="G82" s="128"/>
      <c r="H82" s="128"/>
      <c r="I82" s="128"/>
      <c r="J82" s="128"/>
      <c r="K82" s="128"/>
      <c r="L82" s="128"/>
      <c r="M82" s="128"/>
      <c r="N82" s="128"/>
      <c r="O82" s="128"/>
      <c r="P82" s="128"/>
      <c r="Q82" s="128"/>
      <c r="R82" s="128"/>
      <c r="S82" s="128"/>
      <c r="T82" s="128"/>
      <c r="U82" s="128"/>
      <c r="V82" s="470"/>
      <c r="W82" s="128"/>
      <c r="X82" s="128"/>
      <c r="Y82" s="470"/>
      <c r="Z82" s="128"/>
      <c r="AA82" s="128"/>
      <c r="AB82" s="470"/>
      <c r="AC82" s="128"/>
      <c r="AD82" s="128"/>
      <c r="AE82" s="470"/>
      <c r="AF82" s="128"/>
      <c r="AG82" s="128"/>
      <c r="AH82" s="470"/>
      <c r="AI82" s="128"/>
      <c r="AJ82" s="128"/>
      <c r="AK82" s="470"/>
      <c r="AL82" s="128"/>
      <c r="AM82" s="128"/>
      <c r="AN82" s="470"/>
      <c r="AO82" s="128"/>
      <c r="AP82" s="128"/>
      <c r="AQ82" s="470"/>
      <c r="AR82" s="128"/>
      <c r="AS82" s="128"/>
      <c r="AT82" s="470"/>
      <c r="AU82" s="128"/>
      <c r="AV82" s="128"/>
      <c r="AW82" s="470"/>
      <c r="AX82" s="128"/>
      <c r="AY82" s="128"/>
      <c r="AZ82" s="555"/>
    </row>
    <row r="83" spans="1:52" ht="13">
      <c r="A83" s="87" t="s">
        <v>62</v>
      </c>
      <c r="B83" s="266"/>
      <c r="C83" s="128"/>
      <c r="D83" s="128"/>
      <c r="E83" s="128"/>
      <c r="F83" s="128"/>
      <c r="G83" s="128"/>
      <c r="H83" s="128"/>
      <c r="I83" s="128"/>
      <c r="J83" s="128"/>
      <c r="K83" s="128"/>
      <c r="L83" s="128"/>
      <c r="M83" s="128"/>
      <c r="N83" s="128"/>
      <c r="O83" s="128"/>
      <c r="P83" s="128"/>
      <c r="Q83" s="128"/>
      <c r="R83" s="128"/>
      <c r="S83" s="90">
        <f>MAX(5000,SUM(S65,S76:S78,S81)-SUM(S79:S80))</f>
        <v>5000</v>
      </c>
      <c r="T83" s="134"/>
      <c r="U83" s="135"/>
      <c r="V83" s="90">
        <f>MAX(5000,SUM(V65,V76:V78,V81)-SUM(V79:V80))</f>
        <v>5000</v>
      </c>
      <c r="W83" s="134"/>
      <c r="X83" s="135"/>
      <c r="Y83" s="90">
        <f>MAX(5000,SUM(Y65,Y76:Y78,Y81)-SUM(Y79:Y80))</f>
        <v>5000</v>
      </c>
      <c r="Z83" s="134"/>
      <c r="AA83" s="135"/>
      <c r="AB83" s="90">
        <f>MAX(5000,SUM(AB65,AB76:AB78,AB81)-SUM(AB79:AB80))</f>
        <v>5000</v>
      </c>
      <c r="AC83" s="134"/>
      <c r="AD83" s="135"/>
      <c r="AE83" s="90">
        <f>MAX(5000,SUM(AE65,AE76:AE78,AE81)-SUM(AE79:AE80))</f>
        <v>5000</v>
      </c>
      <c r="AF83" s="134"/>
      <c r="AG83" s="135"/>
      <c r="AH83" s="90">
        <f>MAX(5000,SUM(AH65,AH76:AH78,AH81)-SUM(AH79:AH80))</f>
        <v>5000</v>
      </c>
      <c r="AI83" s="134"/>
      <c r="AJ83" s="135"/>
      <c r="AK83" s="90">
        <f>MAX(5000,SUM(AK65,AK76:AK78,AK81)-SUM(AK79:AK80))</f>
        <v>5000</v>
      </c>
      <c r="AL83" s="134"/>
      <c r="AM83" s="135"/>
      <c r="AN83" s="90">
        <f>MAX(5000,SUM(AN65,AN76:AN78,AN81)-SUM(AN79:AN80))</f>
        <v>5000</v>
      </c>
      <c r="AO83" s="134"/>
      <c r="AP83" s="135"/>
      <c r="AQ83" s="90">
        <f>MAX(5000,SUM(AQ65,AQ76:AQ78,AQ81)-SUM(AQ79:AQ80))</f>
        <v>5000</v>
      </c>
      <c r="AR83" s="134"/>
      <c r="AS83" s="135"/>
      <c r="AT83" s="90">
        <f>MAX(5000,SUM(AT65,AT76:AT78,AT81)-SUM(AT79:AT80))</f>
        <v>5000</v>
      </c>
      <c r="AU83" s="134"/>
      <c r="AV83" s="135"/>
      <c r="AW83" s="90">
        <f>MAX(5000,SUM(AW65,AW76:AW78,AW81)-SUM(AW79:AW80))</f>
        <v>5000</v>
      </c>
      <c r="AX83" s="134"/>
      <c r="AY83" s="135"/>
      <c r="AZ83" s="90">
        <f>MAX(5000,SUM(AZ65,AZ76:AZ78,AZ81)-SUM(AZ79:AZ80))</f>
        <v>5000</v>
      </c>
    </row>
    <row r="84" spans="1:52" ht="13">
      <c r="A84" s="87"/>
      <c r="B84" s="264"/>
      <c r="C84" s="133"/>
      <c r="D84" s="133"/>
      <c r="E84" s="133"/>
      <c r="F84" s="133"/>
      <c r="G84" s="133"/>
      <c r="H84" s="133"/>
      <c r="I84" s="133"/>
      <c r="J84" s="133"/>
      <c r="K84" s="133"/>
      <c r="L84" s="133"/>
      <c r="M84" s="133"/>
      <c r="N84" s="133"/>
      <c r="O84" s="133"/>
      <c r="P84" s="133"/>
      <c r="Q84" s="133"/>
      <c r="R84" s="133"/>
      <c r="S84" s="133"/>
      <c r="T84" s="133"/>
      <c r="U84" s="133"/>
      <c r="V84" s="118"/>
      <c r="W84" s="133"/>
      <c r="X84" s="133"/>
      <c r="Y84" s="118"/>
      <c r="Z84" s="133"/>
      <c r="AA84" s="133"/>
      <c r="AB84" s="118"/>
      <c r="AC84" s="133"/>
      <c r="AD84" s="133"/>
      <c r="AE84" s="118"/>
      <c r="AF84" s="133"/>
      <c r="AG84" s="133"/>
      <c r="AH84" s="118"/>
      <c r="AI84" s="133"/>
      <c r="AJ84" s="133"/>
      <c r="AK84" s="118"/>
      <c r="AL84" s="133"/>
      <c r="AM84" s="133"/>
      <c r="AN84" s="118"/>
      <c r="AO84" s="133"/>
      <c r="AP84" s="133"/>
      <c r="AQ84" s="118"/>
      <c r="AR84" s="133"/>
      <c r="AS84" s="133"/>
      <c r="AT84" s="118"/>
      <c r="AU84" s="133"/>
      <c r="AV84" s="133"/>
      <c r="AW84" s="118"/>
      <c r="AX84" s="133"/>
      <c r="AY84" s="133"/>
      <c r="AZ84" s="556"/>
    </row>
    <row r="85" spans="1:52" ht="15.5">
      <c r="A85" s="96" t="s">
        <v>79</v>
      </c>
      <c r="B85" s="265"/>
      <c r="C85" s="131"/>
      <c r="D85" s="131"/>
      <c r="E85" s="131"/>
      <c r="F85" s="131"/>
      <c r="G85" s="131"/>
      <c r="H85" s="131"/>
      <c r="I85" s="131"/>
      <c r="J85" s="131"/>
      <c r="K85" s="131"/>
      <c r="L85" s="131"/>
      <c r="M85" s="131"/>
      <c r="N85" s="131"/>
      <c r="O85" s="131"/>
      <c r="P85" s="131"/>
      <c r="Q85" s="131"/>
      <c r="R85" s="131"/>
      <c r="S85" s="131"/>
      <c r="T85" s="131"/>
      <c r="U85" s="131"/>
      <c r="V85" s="467"/>
      <c r="W85" s="131"/>
      <c r="X85" s="131"/>
      <c r="Y85" s="467"/>
      <c r="Z85" s="132"/>
      <c r="AA85" s="131"/>
      <c r="AB85" s="467"/>
      <c r="AC85" s="131"/>
      <c r="AD85" s="131"/>
      <c r="AE85" s="467"/>
      <c r="AF85" s="131"/>
      <c r="AG85" s="131"/>
      <c r="AH85" s="467"/>
      <c r="AI85" s="131"/>
      <c r="AJ85" s="131"/>
      <c r="AK85" s="467"/>
      <c r="AL85" s="132"/>
      <c r="AM85" s="131"/>
      <c r="AN85" s="467"/>
      <c r="AO85" s="131"/>
      <c r="AP85" s="131"/>
      <c r="AQ85" s="467"/>
      <c r="AR85" s="131"/>
      <c r="AS85" s="131"/>
      <c r="AT85" s="467"/>
      <c r="AU85" s="131"/>
      <c r="AV85" s="131"/>
      <c r="AW85" s="467"/>
      <c r="AX85" s="131"/>
      <c r="AY85" s="131"/>
      <c r="AZ85" s="542"/>
    </row>
    <row r="86" spans="1:52" ht="13">
      <c r="A86" s="102" t="s">
        <v>80</v>
      </c>
      <c r="B86" s="266"/>
      <c r="C86" s="128"/>
      <c r="D86" s="128"/>
      <c r="E86" s="128"/>
      <c r="F86" s="128"/>
      <c r="G86" s="128"/>
      <c r="H86" s="128"/>
      <c r="I86" s="128"/>
      <c r="J86" s="128"/>
      <c r="K86" s="128"/>
      <c r="L86" s="128"/>
      <c r="M86" s="128"/>
      <c r="N86" s="128"/>
      <c r="O86" s="128"/>
      <c r="P86" s="128"/>
      <c r="Q86" s="128"/>
      <c r="R86" s="128"/>
      <c r="S86" s="114"/>
      <c r="T86" s="471"/>
      <c r="U86" s="472"/>
      <c r="V86" s="88"/>
      <c r="W86" s="471"/>
      <c r="X86" s="472"/>
      <c r="Y86" s="88"/>
      <c r="Z86" s="471"/>
      <c r="AA86" s="472"/>
      <c r="AB86" s="88"/>
      <c r="AC86" s="471"/>
      <c r="AD86" s="472"/>
      <c r="AE86" s="88"/>
      <c r="AF86" s="471"/>
      <c r="AG86" s="472"/>
      <c r="AH86" s="88"/>
      <c r="AI86" s="471"/>
      <c r="AJ86" s="472"/>
      <c r="AK86" s="88"/>
      <c r="AL86" s="471"/>
      <c r="AM86" s="472"/>
      <c r="AN86" s="88"/>
      <c r="AO86" s="471"/>
      <c r="AP86" s="472"/>
      <c r="AQ86" s="88"/>
      <c r="AR86" s="471"/>
      <c r="AS86" s="472"/>
      <c r="AT86" s="88"/>
      <c r="AU86" s="471"/>
      <c r="AV86" s="472"/>
      <c r="AW86" s="88"/>
      <c r="AX86" s="471"/>
      <c r="AY86" s="472"/>
      <c r="AZ86" s="539"/>
    </row>
    <row r="87" spans="1:52" ht="13">
      <c r="A87" s="102" t="s">
        <v>81</v>
      </c>
      <c r="B87" s="266"/>
      <c r="C87" s="128"/>
      <c r="D87" s="128"/>
      <c r="E87" s="128"/>
      <c r="F87" s="128"/>
      <c r="G87" s="128"/>
      <c r="H87" s="128"/>
      <c r="I87" s="128"/>
      <c r="J87" s="128"/>
      <c r="K87" s="128"/>
      <c r="L87" s="128"/>
      <c r="M87" s="128"/>
      <c r="N87" s="128"/>
      <c r="O87" s="128"/>
      <c r="P87" s="128"/>
      <c r="Q87" s="128"/>
      <c r="R87" s="128"/>
      <c r="S87" s="114"/>
      <c r="T87" s="88"/>
      <c r="U87" s="88"/>
      <c r="V87" s="88"/>
      <c r="W87" s="88"/>
      <c r="X87" s="88"/>
      <c r="Y87" s="88"/>
      <c r="Z87" s="88"/>
      <c r="AA87" s="88"/>
      <c r="AB87" s="88"/>
      <c r="AC87" s="88"/>
      <c r="AD87" s="88"/>
      <c r="AE87" s="88"/>
      <c r="AF87" s="88"/>
      <c r="AG87" s="88"/>
      <c r="AH87" s="88"/>
      <c r="AI87" s="88"/>
      <c r="AJ87" s="88"/>
      <c r="AK87" s="88"/>
      <c r="AL87" s="88"/>
      <c r="AM87" s="88"/>
      <c r="AN87" s="88"/>
      <c r="AO87" s="88"/>
      <c r="AP87" s="88"/>
      <c r="AQ87" s="88"/>
      <c r="AR87" s="88"/>
      <c r="AS87" s="88"/>
      <c r="AT87" s="88"/>
      <c r="AU87" s="88"/>
      <c r="AV87" s="88"/>
      <c r="AW87" s="88"/>
      <c r="AX87" s="88"/>
      <c r="AY87" s="88"/>
      <c r="AZ87" s="539"/>
    </row>
    <row r="88" spans="1:52" ht="13">
      <c r="A88" s="102" t="s">
        <v>82</v>
      </c>
      <c r="B88" s="266"/>
      <c r="C88" s="128"/>
      <c r="D88" s="128"/>
      <c r="E88" s="128"/>
      <c r="F88" s="128"/>
      <c r="G88" s="128"/>
      <c r="H88" s="128"/>
      <c r="I88" s="128"/>
      <c r="J88" s="128"/>
      <c r="K88" s="128"/>
      <c r="L88" s="128"/>
      <c r="M88" s="128"/>
      <c r="N88" s="128"/>
      <c r="O88" s="128"/>
      <c r="P88" s="128"/>
      <c r="Q88" s="128"/>
      <c r="R88" s="128"/>
      <c r="S88" s="114"/>
      <c r="T88" s="88"/>
      <c r="U88" s="88"/>
      <c r="V88" s="88"/>
      <c r="W88" s="88"/>
      <c r="X88" s="88"/>
      <c r="Y88" s="88"/>
      <c r="Z88" s="88"/>
      <c r="AA88" s="88"/>
      <c r="AB88" s="88"/>
      <c r="AC88" s="88"/>
      <c r="AD88" s="88"/>
      <c r="AE88" s="88"/>
      <c r="AF88" s="88"/>
      <c r="AG88" s="88"/>
      <c r="AH88" s="88"/>
      <c r="AI88" s="88"/>
      <c r="AJ88" s="88"/>
      <c r="AK88" s="88"/>
      <c r="AL88" s="88"/>
      <c r="AM88" s="88"/>
      <c r="AN88" s="88"/>
      <c r="AO88" s="88"/>
      <c r="AP88" s="88"/>
      <c r="AQ88" s="88"/>
      <c r="AR88" s="88"/>
      <c r="AS88" s="88"/>
      <c r="AT88" s="88"/>
      <c r="AU88" s="88"/>
      <c r="AV88" s="88"/>
      <c r="AW88" s="88"/>
      <c r="AX88" s="88"/>
      <c r="AY88" s="88"/>
      <c r="AZ88" s="539"/>
    </row>
    <row r="89" spans="1:52" ht="13">
      <c r="A89" s="102" t="s">
        <v>83</v>
      </c>
      <c r="B89" s="266"/>
      <c r="C89" s="128"/>
      <c r="D89" s="128"/>
      <c r="E89" s="128"/>
      <c r="F89" s="128"/>
      <c r="G89" s="128"/>
      <c r="H89" s="128"/>
      <c r="I89" s="128"/>
      <c r="J89" s="128"/>
      <c r="K89" s="128"/>
      <c r="L89" s="128"/>
      <c r="M89" s="128"/>
      <c r="N89" s="128"/>
      <c r="O89" s="128"/>
      <c r="P89" s="128"/>
      <c r="Q89" s="128"/>
      <c r="R89" s="128"/>
      <c r="S89" s="114"/>
      <c r="T89" s="88"/>
      <c r="U89" s="88"/>
      <c r="V89" s="88"/>
      <c r="W89" s="88"/>
      <c r="X89" s="88"/>
      <c r="Y89" s="88"/>
      <c r="Z89" s="88"/>
      <c r="AA89" s="88"/>
      <c r="AB89" s="88"/>
      <c r="AC89" s="88"/>
      <c r="AD89" s="88"/>
      <c r="AE89" s="88"/>
      <c r="AF89" s="88"/>
      <c r="AG89" s="88"/>
      <c r="AH89" s="88"/>
      <c r="AI89" s="88"/>
      <c r="AJ89" s="88"/>
      <c r="AK89" s="88"/>
      <c r="AL89" s="88"/>
      <c r="AM89" s="88"/>
      <c r="AN89" s="88"/>
      <c r="AO89" s="88"/>
      <c r="AP89" s="88"/>
      <c r="AQ89" s="88"/>
      <c r="AR89" s="88"/>
      <c r="AS89" s="88"/>
      <c r="AT89" s="88"/>
      <c r="AU89" s="88"/>
      <c r="AV89" s="88"/>
      <c r="AW89" s="88"/>
      <c r="AX89" s="88"/>
      <c r="AY89" s="88"/>
      <c r="AZ89" s="539"/>
    </row>
    <row r="90" spans="1:52" ht="13">
      <c r="A90" s="102" t="s">
        <v>84</v>
      </c>
      <c r="B90" s="266"/>
      <c r="C90" s="128"/>
      <c r="D90" s="128"/>
      <c r="E90" s="128"/>
      <c r="F90" s="128"/>
      <c r="G90" s="128"/>
      <c r="H90" s="128"/>
      <c r="I90" s="128"/>
      <c r="J90" s="128"/>
      <c r="K90" s="128"/>
      <c r="L90" s="128"/>
      <c r="M90" s="128"/>
      <c r="N90" s="128"/>
      <c r="O90" s="128"/>
      <c r="P90" s="128"/>
      <c r="Q90" s="128"/>
      <c r="R90" s="128"/>
      <c r="S90" s="114"/>
      <c r="T90" s="88"/>
      <c r="U90" s="88"/>
      <c r="V90" s="88"/>
      <c r="W90" s="88"/>
      <c r="X90" s="88"/>
      <c r="Y90" s="88"/>
      <c r="Z90" s="88"/>
      <c r="AA90" s="88"/>
      <c r="AB90" s="88"/>
      <c r="AC90" s="88"/>
      <c r="AD90" s="88"/>
      <c r="AE90" s="88"/>
      <c r="AF90" s="88"/>
      <c r="AG90" s="88"/>
      <c r="AH90" s="88"/>
      <c r="AI90" s="88"/>
      <c r="AJ90" s="88"/>
      <c r="AK90" s="88"/>
      <c r="AL90" s="88"/>
      <c r="AM90" s="88"/>
      <c r="AN90" s="88"/>
      <c r="AO90" s="88"/>
      <c r="AP90" s="88"/>
      <c r="AQ90" s="88"/>
      <c r="AR90" s="88"/>
      <c r="AS90" s="88"/>
      <c r="AT90" s="88"/>
      <c r="AU90" s="88"/>
      <c r="AV90" s="88"/>
      <c r="AW90" s="88"/>
      <c r="AX90" s="88"/>
      <c r="AY90" s="88"/>
      <c r="AZ90" s="539"/>
    </row>
    <row r="91" spans="1:52" s="494" customFormat="1" ht="13">
      <c r="A91" s="102"/>
      <c r="B91" s="266"/>
      <c r="C91" s="128"/>
      <c r="D91" s="128"/>
      <c r="E91" s="128"/>
      <c r="F91" s="128"/>
      <c r="G91" s="128"/>
      <c r="H91" s="128"/>
      <c r="I91" s="128"/>
      <c r="J91" s="128"/>
      <c r="K91" s="128"/>
      <c r="L91" s="128"/>
      <c r="M91" s="128"/>
      <c r="N91" s="128"/>
      <c r="O91" s="128"/>
      <c r="P91" s="128"/>
      <c r="Q91" s="128"/>
      <c r="R91" s="128"/>
      <c r="S91" s="136"/>
      <c r="T91" s="136"/>
      <c r="U91" s="136"/>
      <c r="V91" s="109"/>
      <c r="W91" s="136"/>
      <c r="X91" s="136"/>
      <c r="Y91" s="109"/>
      <c r="Z91" s="136"/>
      <c r="AA91" s="136"/>
      <c r="AB91" s="109"/>
      <c r="AC91" s="136"/>
      <c r="AD91" s="136"/>
      <c r="AE91" s="109"/>
      <c r="AF91" s="136"/>
      <c r="AG91" s="136"/>
      <c r="AH91" s="109"/>
      <c r="AI91" s="136"/>
      <c r="AJ91" s="136"/>
      <c r="AK91" s="109"/>
      <c r="AL91" s="136"/>
      <c r="AM91" s="136"/>
      <c r="AN91" s="109"/>
      <c r="AO91" s="136"/>
      <c r="AP91" s="136"/>
      <c r="AQ91" s="109"/>
      <c r="AR91" s="136"/>
      <c r="AS91" s="136"/>
      <c r="AT91" s="109"/>
      <c r="AU91" s="136"/>
      <c r="AV91" s="136"/>
      <c r="AW91" s="109"/>
      <c r="AX91" s="136"/>
      <c r="AY91" s="136"/>
      <c r="AZ91" s="557"/>
    </row>
    <row r="92" spans="1:52" ht="13">
      <c r="A92" s="102" t="s">
        <v>85</v>
      </c>
      <c r="B92" s="266"/>
      <c r="C92" s="128"/>
      <c r="D92" s="128"/>
      <c r="E92" s="128"/>
      <c r="F92" s="128"/>
      <c r="G92" s="128"/>
      <c r="H92" s="128"/>
      <c r="I92" s="128"/>
      <c r="J92" s="128"/>
      <c r="K92" s="128"/>
      <c r="L92" s="128"/>
      <c r="M92" s="128"/>
      <c r="N92" s="128"/>
      <c r="O92" s="128"/>
      <c r="P92" s="128"/>
      <c r="Q92" s="128"/>
      <c r="R92" s="128"/>
      <c r="S92" s="126"/>
      <c r="T92" s="132"/>
      <c r="U92" s="135"/>
      <c r="V92" s="126"/>
      <c r="W92" s="134"/>
      <c r="X92" s="135"/>
      <c r="Y92" s="126"/>
      <c r="Z92" s="134"/>
      <c r="AA92" s="135"/>
      <c r="AB92" s="126"/>
      <c r="AC92" s="134"/>
      <c r="AD92" s="135"/>
      <c r="AE92" s="126"/>
      <c r="AF92" s="134"/>
      <c r="AG92" s="135"/>
      <c r="AH92" s="126"/>
      <c r="AI92" s="134"/>
      <c r="AJ92" s="135"/>
      <c r="AK92" s="126"/>
      <c r="AL92" s="134"/>
      <c r="AM92" s="135"/>
      <c r="AN92" s="126"/>
      <c r="AO92" s="134"/>
      <c r="AP92" s="135"/>
      <c r="AQ92" s="126"/>
      <c r="AR92" s="134"/>
      <c r="AS92" s="135"/>
      <c r="AT92" s="126"/>
      <c r="AU92" s="134"/>
      <c r="AV92" s="135"/>
      <c r="AW92" s="126"/>
      <c r="AX92" s="134"/>
      <c r="AY92" s="135"/>
      <c r="AZ92" s="126"/>
    </row>
    <row r="93" spans="1:52" ht="13">
      <c r="A93" s="102" t="s">
        <v>86</v>
      </c>
      <c r="B93" s="266"/>
      <c r="C93" s="128"/>
      <c r="D93" s="128"/>
      <c r="E93" s="128"/>
      <c r="F93" s="128"/>
      <c r="G93" s="128"/>
      <c r="H93" s="128"/>
      <c r="I93" s="128"/>
      <c r="J93" s="128"/>
      <c r="K93" s="128"/>
      <c r="L93" s="128"/>
      <c r="M93" s="128"/>
      <c r="N93" s="128"/>
      <c r="O93" s="128"/>
      <c r="P93" s="128"/>
      <c r="Q93" s="128"/>
      <c r="R93" s="128"/>
      <c r="S93" s="469"/>
      <c r="T93" s="132"/>
      <c r="U93" s="132"/>
      <c r="V93" s="469"/>
      <c r="W93" s="132"/>
      <c r="X93" s="132"/>
      <c r="Y93" s="469"/>
      <c r="Z93" s="132"/>
      <c r="AA93" s="132"/>
      <c r="AB93" s="469"/>
      <c r="AC93" s="132"/>
      <c r="AD93" s="132"/>
      <c r="AE93" s="469"/>
      <c r="AF93" s="132"/>
      <c r="AG93" s="132"/>
      <c r="AH93" s="469"/>
      <c r="AI93" s="132"/>
      <c r="AJ93" s="132"/>
      <c r="AK93" s="469"/>
      <c r="AL93" s="132"/>
      <c r="AM93" s="132"/>
      <c r="AN93" s="469"/>
      <c r="AO93" s="132"/>
      <c r="AP93" s="132"/>
      <c r="AQ93" s="469"/>
      <c r="AR93" s="132"/>
      <c r="AS93" s="132"/>
      <c r="AT93" s="469"/>
      <c r="AU93" s="132"/>
      <c r="AV93" s="132"/>
      <c r="AW93" s="469"/>
      <c r="AX93" s="132"/>
      <c r="AY93" s="132"/>
      <c r="AZ93" s="469"/>
    </row>
    <row r="94" spans="1:52" ht="13">
      <c r="A94" s="473"/>
      <c r="B94" s="474"/>
      <c r="C94" s="470"/>
      <c r="D94" s="470"/>
      <c r="E94" s="470"/>
      <c r="F94" s="470"/>
      <c r="G94" s="470"/>
      <c r="H94" s="470"/>
      <c r="I94" s="470"/>
      <c r="J94" s="470"/>
      <c r="K94" s="470"/>
      <c r="L94" s="470"/>
      <c r="M94" s="470"/>
      <c r="N94" s="470"/>
      <c r="O94" s="470"/>
      <c r="P94" s="470"/>
      <c r="Q94" s="470"/>
      <c r="R94" s="470"/>
      <c r="S94" s="475"/>
      <c r="T94" s="475"/>
      <c r="U94" s="475"/>
      <c r="V94" s="117"/>
      <c r="W94" s="475"/>
      <c r="X94" s="475"/>
      <c r="Y94" s="117"/>
      <c r="Z94" s="476"/>
      <c r="AA94" s="475"/>
      <c r="AB94" s="117"/>
      <c r="AC94" s="475"/>
      <c r="AD94" s="475"/>
      <c r="AE94" s="117"/>
      <c r="AF94" s="475"/>
      <c r="AG94" s="475"/>
      <c r="AH94" s="117"/>
      <c r="AI94" s="467"/>
      <c r="AJ94" s="467"/>
      <c r="AK94" s="117"/>
      <c r="AL94" s="466"/>
      <c r="AM94" s="467"/>
      <c r="AN94" s="117"/>
      <c r="AO94" s="467"/>
      <c r="AP94" s="467"/>
      <c r="AQ94" s="117"/>
      <c r="AR94" s="467"/>
      <c r="AS94" s="467"/>
      <c r="AT94" s="117"/>
      <c r="AU94" s="467"/>
      <c r="AV94" s="467"/>
      <c r="AW94" s="117"/>
      <c r="AX94" s="467"/>
      <c r="AY94" s="467"/>
      <c r="AZ94" s="554"/>
    </row>
  </sheetData>
  <mergeCells count="1">
    <mergeCell ref="B2:E2"/>
  </mergeCells>
  <dataValidations count="1">
    <dataValidation allowBlank="1" showInputMessage="1" showErrorMessage="1" promptTitle="Do not enter insurer name" prompt="This cell is automated from Template C" sqref="B2" xr:uid="{F649ADEB-BC51-451F-AE95-3F7440ACCFB1}"/>
  </dataValidations>
  <pageMargins left="0.25" right="0.25" top="0.75" bottom="0.75" header="0.3" footer="0.3"/>
  <pageSetup paperSize="9" scale="39" orientation="landscape" r:id="rId1"/>
  <headerFooter>
    <oddHeader>&amp;C&amp;"Calibri"&amp;12&amp;KFF0000 OFFICIAL&amp;1#_x000D_</oddHeader>
    <oddFooter>&amp;C_x000D_&amp;1#&amp;"Calibri"&amp;12&amp;KFF0000 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XFC71"/>
  <sheetViews>
    <sheetView workbookViewId="0"/>
  </sheetViews>
  <sheetFormatPr defaultColWidth="0" defaultRowHeight="12.5" zeroHeight="1"/>
  <cols>
    <col min="1" max="1" width="21" customWidth="1"/>
    <col min="2" max="2" width="33.1796875" customWidth="1"/>
    <col min="3" max="3" width="1.54296875" customWidth="1"/>
    <col min="4" max="4" width="80.54296875" customWidth="1"/>
    <col min="5" max="5" width="22.453125" customWidth="1"/>
    <col min="6" max="7" width="20.453125" customWidth="1"/>
    <col min="8" max="8" width="19.81640625" customWidth="1"/>
    <col min="9" max="16383" width="9.1796875" hidden="1"/>
    <col min="16384" max="16384" width="14.81640625" hidden="1"/>
  </cols>
  <sheetData>
    <row r="1" spans="1:9" ht="20.149999999999999" customHeight="1">
      <c r="A1" s="159" t="str">
        <f>"TEMPLATE C - Insurer Summary - " &amp; prem_round &amp; " Premium Round - Protected information under PHI Act 2007 when completed"</f>
        <v>TEMPLATE C - Insurer Summary - 2026 Premium Round - Protected information under PHI Act 2007 when completed</v>
      </c>
      <c r="B1" s="160"/>
      <c r="C1" s="160"/>
      <c r="D1" s="160"/>
      <c r="E1" s="160"/>
      <c r="F1" s="160"/>
      <c r="G1" s="160"/>
      <c r="H1" s="225"/>
    </row>
    <row r="2" spans="1:9" ht="27" customHeight="1">
      <c r="A2" s="81" t="s">
        <v>87</v>
      </c>
      <c r="B2" s="6"/>
      <c r="C2" s="6"/>
      <c r="D2" s="5" t="s">
        <v>88</v>
      </c>
      <c r="E2" s="15">
        <f>prem_year_start</f>
        <v>46142</v>
      </c>
      <c r="F2" s="15">
        <f>EOMONTH(E2, 12)</f>
        <v>46507</v>
      </c>
      <c r="G2" s="15">
        <f t="shared" ref="G2" si="0">EOMONTH(F2, 12)</f>
        <v>46873</v>
      </c>
      <c r="H2" s="225"/>
    </row>
    <row r="3" spans="1:9" ht="16.5" customHeight="1">
      <c r="A3" s="66" t="s">
        <v>89</v>
      </c>
      <c r="B3" s="9"/>
      <c r="C3" s="6"/>
      <c r="D3" s="138" t="s">
        <v>91</v>
      </c>
      <c r="E3" s="23" t="str">
        <f>IFERROR(SUM('Template A - Products'!$U$1:$U$30000)/SUM('Template A - Products'!$R$1:$R$30000)-1,"")</f>
        <v/>
      </c>
      <c r="F3" s="8"/>
      <c r="G3" s="67"/>
      <c r="H3" s="226"/>
      <c r="I3" s="29"/>
    </row>
    <row r="4" spans="1:9" ht="16.5" customHeight="1">
      <c r="A4" s="66" t="s">
        <v>92</v>
      </c>
      <c r="B4" s="10" t="e">
        <f>VLOOKUP($B$3,'Data Entry Key'!$F$2:$I$30,2,0)</f>
        <v>#N/A</v>
      </c>
      <c r="C4" s="6"/>
      <c r="D4" s="138" t="s">
        <v>93</v>
      </c>
      <c r="E4" s="568"/>
      <c r="F4" s="8"/>
      <c r="G4" s="67"/>
      <c r="H4" s="225"/>
    </row>
    <row r="5" spans="1:9" ht="16.5" customHeight="1">
      <c r="A5" s="66" t="s">
        <v>94</v>
      </c>
      <c r="B5" s="10" t="e">
        <f>VLOOKUP($B$3,'Data Entry Key'!$F$2:$I$30,3,0)</f>
        <v>#N/A</v>
      </c>
      <c r="C5" s="6"/>
      <c r="D5" s="139" t="s">
        <v>95</v>
      </c>
      <c r="E5" s="6"/>
      <c r="F5" s="6"/>
      <c r="G5" s="68"/>
      <c r="H5" s="225"/>
    </row>
    <row r="6" spans="1:9" ht="16.5" customHeight="1">
      <c r="A6" s="66" t="s">
        <v>96</v>
      </c>
      <c r="B6" s="10" t="e">
        <f>VLOOKUP($B$3,'Data Entry Key'!$F$2:$I$30,4,0)</f>
        <v>#N/A</v>
      </c>
      <c r="C6" s="6"/>
      <c r="D6" s="138" t="s">
        <v>97</v>
      </c>
      <c r="E6" s="23" t="str">
        <f>IFERROR(E3*E4,"0.00%")</f>
        <v>0.00%</v>
      </c>
      <c r="F6" s="23">
        <f>F3*F4</f>
        <v>0</v>
      </c>
      <c r="G6" s="69">
        <f>G3*G4</f>
        <v>0</v>
      </c>
      <c r="H6" s="225"/>
    </row>
    <row r="7" spans="1:9" ht="13">
      <c r="A7" s="70"/>
      <c r="B7" s="56"/>
      <c r="C7" s="6"/>
      <c r="D7" s="138" t="s">
        <v>98</v>
      </c>
      <c r="E7" s="23" t="str">
        <f>IFERROR(SUMPRODUCT('Template A - Products'!$P$1:$P$30000,'Template A - Products'!$U$1:$U$30000)/SUMPRODUCT('Template A - Products'!$O$1:$O$30000,'Template A - Products'!$R$1:$R$30000)-1-E3,"")</f>
        <v/>
      </c>
      <c r="F7" s="57"/>
      <c r="G7" s="57"/>
      <c r="H7" s="225"/>
    </row>
    <row r="8" spans="1:9" ht="15.75" customHeight="1">
      <c r="A8" s="70"/>
      <c r="B8" s="1"/>
      <c r="C8" s="6"/>
      <c r="D8" s="138" t="s">
        <v>99</v>
      </c>
      <c r="E8" s="23" t="str">
        <f>IFERROR(SUM(E3+E7)*E4,"")</f>
        <v/>
      </c>
      <c r="F8" s="1"/>
      <c r="G8" s="1"/>
      <c r="H8" s="225"/>
    </row>
    <row r="9" spans="1:9" ht="26.5" thickBot="1">
      <c r="A9" s="70"/>
      <c r="B9" s="1"/>
      <c r="C9" s="6"/>
      <c r="D9" s="562" t="s">
        <v>100</v>
      </c>
      <c r="E9" s="564" t="str">
        <f>'Template D - Various'!F32</f>
        <v/>
      </c>
      <c r="F9" s="1"/>
      <c r="G9" s="1"/>
      <c r="H9" s="225"/>
    </row>
    <row r="10" spans="1:9" ht="15.75" customHeight="1" thickTop="1">
      <c r="A10" s="70"/>
      <c r="B10" s="1"/>
      <c r="C10" s="6"/>
      <c r="D10" s="563" t="s">
        <v>101</v>
      </c>
      <c r="E10" s="58" t="str">
        <f>IFERROR(SUM(E3+E7+E9)*E4,"")</f>
        <v/>
      </c>
      <c r="F10" s="7"/>
      <c r="G10" s="1"/>
      <c r="H10" s="225"/>
    </row>
    <row r="11" spans="1:9" ht="5.5" customHeight="1">
      <c r="A11" s="70"/>
      <c r="B11" s="39"/>
      <c r="C11" s="40"/>
      <c r="D11" s="1"/>
      <c r="E11" s="1"/>
      <c r="F11" s="1"/>
      <c r="G11" s="1"/>
      <c r="H11" s="1"/>
    </row>
    <row r="12" spans="1:9" ht="13">
      <c r="A12" s="70"/>
      <c r="B12" s="1"/>
      <c r="C12" s="6"/>
      <c r="D12" s="172" t="s">
        <v>102</v>
      </c>
      <c r="E12" s="567">
        <f>EOMONTH(DATE(prem_round, 6, 30), -12)+1</f>
        <v>45839</v>
      </c>
      <c r="F12" s="565">
        <f>EOMONTH(E12, 11)+1</f>
        <v>46204</v>
      </c>
      <c r="G12" s="565">
        <f>EOMONTH(F12, 11)+1</f>
        <v>46569</v>
      </c>
      <c r="H12" s="225"/>
    </row>
    <row r="13" spans="1:9" ht="13">
      <c r="A13" s="70"/>
      <c r="B13" s="1"/>
      <c r="C13" s="120"/>
      <c r="D13" s="140" t="s">
        <v>103</v>
      </c>
      <c r="E13" s="566">
        <f>'Template B - Financials'!AB49</f>
        <v>0</v>
      </c>
      <c r="F13" s="566">
        <f>'Template B - Financials'!AN49</f>
        <v>0</v>
      </c>
      <c r="G13" s="566">
        <f>'Template B - Financials'!AZ49</f>
        <v>0</v>
      </c>
      <c r="H13" s="225"/>
    </row>
    <row r="14" spans="1:9" ht="13">
      <c r="A14" s="70"/>
      <c r="B14" s="1"/>
      <c r="C14" s="120"/>
      <c r="D14" s="140" t="s">
        <v>104</v>
      </c>
      <c r="E14" s="566">
        <f>SUM('Template B - Financials'!Q12:AB12)</f>
        <v>0</v>
      </c>
      <c r="F14" s="566">
        <f>SUM('Template B - Financials'!AC12:AN12)</f>
        <v>0</v>
      </c>
      <c r="G14" s="566">
        <f>SUM('Template B - Financials'!AO12:AZ12)</f>
        <v>0</v>
      </c>
      <c r="H14" s="225"/>
    </row>
    <row r="15" spans="1:9" ht="13">
      <c r="A15" s="70"/>
      <c r="B15" s="1"/>
      <c r="C15" s="120"/>
      <c r="D15" s="140" t="s">
        <v>105</v>
      </c>
      <c r="E15" s="566">
        <f>SUM('Template B - Financials'!Q19:AB19)</f>
        <v>0</v>
      </c>
      <c r="F15" s="566">
        <f>SUM('Template B - Financials'!AC19:AN19)</f>
        <v>0</v>
      </c>
      <c r="G15" s="566">
        <f>SUM('Template B - Financials'!AO19:AZ19)</f>
        <v>0</v>
      </c>
      <c r="H15" s="225"/>
    </row>
    <row r="16" spans="1:9" ht="13">
      <c r="A16" s="70"/>
      <c r="B16" s="1"/>
      <c r="C16" s="6"/>
      <c r="D16" s="140" t="s">
        <v>106</v>
      </c>
      <c r="E16" s="26"/>
      <c r="F16" s="26"/>
      <c r="G16" s="26"/>
      <c r="H16" s="225"/>
    </row>
    <row r="17" spans="1:8" ht="7" customHeight="1">
      <c r="A17" s="70"/>
      <c r="B17" s="1"/>
      <c r="C17" s="1"/>
      <c r="D17" s="1"/>
      <c r="E17" s="1"/>
      <c r="F17" s="1"/>
      <c r="G17" s="1"/>
      <c r="H17" s="1"/>
    </row>
    <row r="18" spans="1:8" ht="14">
      <c r="A18" s="81" t="s">
        <v>400</v>
      </c>
      <c r="B18" s="39"/>
      <c r="C18" s="40"/>
      <c r="D18" s="148" t="s">
        <v>102</v>
      </c>
      <c r="E18" s="15" t="s">
        <v>383</v>
      </c>
      <c r="F18" s="15" t="s">
        <v>385</v>
      </c>
      <c r="G18" s="15">
        <v>45839</v>
      </c>
      <c r="H18" s="15">
        <v>46204</v>
      </c>
    </row>
    <row r="19" spans="1:8" ht="13">
      <c r="A19" s="70" t="s">
        <v>401</v>
      </c>
      <c r="B19" s="39"/>
      <c r="C19" s="40"/>
      <c r="D19" s="1"/>
      <c r="E19" s="26"/>
      <c r="F19" s="26"/>
      <c r="G19" s="62"/>
      <c r="H19" s="62"/>
    </row>
    <row r="20" spans="1:8" ht="13">
      <c r="A20" s="70" t="s">
        <v>402</v>
      </c>
      <c r="B20" s="39"/>
      <c r="C20" s="40"/>
      <c r="D20" s="1"/>
      <c r="E20" s="26"/>
      <c r="F20" s="26"/>
      <c r="G20" s="26"/>
      <c r="H20" s="26"/>
    </row>
    <row r="21" spans="1:8" ht="5.5" customHeight="1">
      <c r="A21" s="70"/>
      <c r="B21" s="39"/>
      <c r="C21" s="40"/>
      <c r="D21" s="1"/>
      <c r="E21" s="1"/>
      <c r="F21" s="1"/>
      <c r="G21" s="1"/>
      <c r="H21" s="1"/>
    </row>
    <row r="22" spans="1:8" ht="46.5" customHeight="1">
      <c r="A22" s="597" t="s">
        <v>403</v>
      </c>
      <c r="B22" s="598"/>
      <c r="C22" s="41"/>
      <c r="D22" s="599"/>
      <c r="E22" s="600"/>
      <c r="F22" s="600"/>
      <c r="G22" s="601"/>
      <c r="H22" s="225"/>
    </row>
    <row r="23" spans="1:8" ht="26.15" customHeight="1">
      <c r="A23" s="595" t="str">
        <f>"Segmented Revenue Increases for the year from 1 April " &amp; prem_round &amp; " (Including rate protection)"</f>
        <v>Segmented Revenue Increases for the year from 1 April 2026 (Including rate protection)</v>
      </c>
      <c r="B23" s="596"/>
      <c r="C23" s="596"/>
      <c r="D23" s="596"/>
      <c r="E23" s="6"/>
      <c r="F23" s="6"/>
      <c r="G23" s="228"/>
      <c r="H23" s="225"/>
    </row>
    <row r="24" spans="1:8" ht="13">
      <c r="A24" s="71" t="s">
        <v>107</v>
      </c>
      <c r="B24" s="7"/>
      <c r="C24" s="4"/>
      <c r="D24" s="1"/>
      <c r="E24" s="593" t="s">
        <v>21</v>
      </c>
      <c r="F24" s="594"/>
      <c r="G24" s="228"/>
      <c r="H24" s="225"/>
    </row>
    <row r="25" spans="1:8" ht="14">
      <c r="A25" s="70" t="s">
        <v>9</v>
      </c>
      <c r="B25" s="143" t="str">
        <f>IFERROR((SUMIFS('Template A - Products'!$U$1:$U$30000,'Template A - Products'!$B$1:$B$30000,$A25)/SUMIFS('Template A - Products'!$R$1:$R$30000,'Template A - Products'!$B$1:$B$30000,$A25)-1)*RP_factor,"")</f>
        <v/>
      </c>
      <c r="C25" s="4"/>
      <c r="D25" s="5" t="s">
        <v>108</v>
      </c>
      <c r="E25" s="16">
        <f>E$2</f>
        <v>46142</v>
      </c>
      <c r="F25" s="16">
        <f>F$2</f>
        <v>46507</v>
      </c>
      <c r="G25" s="228"/>
      <c r="H25" s="225"/>
    </row>
    <row r="26" spans="1:8" ht="13">
      <c r="A26" s="70" t="s">
        <v>109</v>
      </c>
      <c r="B26" s="27" t="str">
        <f>IFERROR((SUMIFS('Template A - Products'!$U$1:$U$30000,'Template A - Products'!$B$1:$B$30000,$A26)/SUMIFS('Template A - Products'!$R$1:$R$30000,'Template A - Products'!$B$1:$B$30000,$A26)-1)*RP_factor,"")</f>
        <v/>
      </c>
      <c r="C26" s="4"/>
      <c r="D26" s="120"/>
      <c r="E26" s="23" t="str">
        <f>IFERROR(1-((SUM('Template B - Financials'!Z19:AK19)*1000)+(SUM('Template B - Financials'!Z24:AK24)*1000))/(SUM('Template B - Financials'!Z12:AK12)*1000),"")</f>
        <v/>
      </c>
      <c r="F26" s="23" t="str">
        <f>IFERROR(1-((SUM('Template B - Financials'!AL19:AW19)*1000)+(SUM('Template B - Financials'!AL24:AW24)*1000))/(SUM('Template B - Financials'!AL12:AW12)*1000),"")</f>
        <v/>
      </c>
      <c r="G26" s="228"/>
      <c r="H26" s="225"/>
    </row>
    <row r="27" spans="1:8" ht="13">
      <c r="A27" s="70" t="s">
        <v>110</v>
      </c>
      <c r="B27" s="27" t="str">
        <f>IFERROR((SUMIFS('Template A - Products'!$U$1:$U$30000,'Template A - Products'!$B$1:$B$30000,$A27)/SUMIFS('Template A - Products'!$R$1:$R$30000,'Template A - Products'!$B$1:$B$30000,$A27)-1)*RP_factor,"")</f>
        <v/>
      </c>
      <c r="C27" s="4"/>
      <c r="D27" s="1"/>
      <c r="E27" s="1"/>
      <c r="F27" s="1"/>
      <c r="G27" s="228"/>
      <c r="H27" s="225"/>
    </row>
    <row r="28" spans="1:8" ht="14">
      <c r="A28" s="70" t="s">
        <v>111</v>
      </c>
      <c r="B28" s="27" t="str">
        <f>IFERROR((SUMIFS('Template A - Products'!$U$1:$U$30000,'Template A - Products'!$B$1:$B$30000,$A28)/SUMIFS('Template A - Products'!$R$1:$R$30000,'Template A - Products'!$B$1:$B$30000,$A28)-1)*RP_factor,"")</f>
        <v/>
      </c>
      <c r="C28" s="4"/>
      <c r="D28" s="5" t="s">
        <v>112</v>
      </c>
      <c r="E28" s="16">
        <f>E$2</f>
        <v>46142</v>
      </c>
      <c r="F28" s="16">
        <f>F$2</f>
        <v>46507</v>
      </c>
      <c r="G28" s="228"/>
      <c r="H28" s="225"/>
    </row>
    <row r="29" spans="1:8" ht="13">
      <c r="A29" s="70" t="s">
        <v>113</v>
      </c>
      <c r="B29" s="27" t="str">
        <f>IFERROR((SUMIFS('Template A - Products'!$U$1:$U$30000,'Template A - Products'!$B$1:$B$30000,$A29)/SUMIFS('Template A - Products'!$R$1:$R$30000,'Template A - Products'!$B$1:$B$30000,$A29)-1)*RP_factor,"")</f>
        <v/>
      </c>
      <c r="C29" s="4"/>
      <c r="D29" s="147"/>
      <c r="E29" s="23" t="str">
        <f>IFERROR((SUM('Template B - Financials'!Z19:AK19)/SUM('Template B - Financials'!Z12:AK12)),"")</f>
        <v/>
      </c>
      <c r="F29" s="23" t="str">
        <f>IFERROR((SUM('Template B - Financials'!AL19:AW19)/SUM('Template B - Financials'!AL12:AW12)),"")</f>
        <v/>
      </c>
      <c r="G29" s="228"/>
      <c r="H29" s="225"/>
    </row>
    <row r="30" spans="1:8" ht="13">
      <c r="A30" s="70" t="s">
        <v>114</v>
      </c>
      <c r="B30" s="27" t="str">
        <f>IFERROR((SUMIFS('Template A - Products'!$U$1:$U$30000,'Template A - Products'!$B$1:$B$30000,$A30)/SUMIFS('Template A - Products'!$R$1:$R$30000,'Template A - Products'!$B$1:$B$30000,$A30)-1)*RP_factor,"")</f>
        <v/>
      </c>
      <c r="C30" s="4"/>
      <c r="D30" s="1"/>
      <c r="E30" s="1"/>
      <c r="F30" s="1"/>
      <c r="G30" s="228"/>
      <c r="H30" s="225"/>
    </row>
    <row r="31" spans="1:8" ht="14">
      <c r="A31" s="70" t="s">
        <v>115</v>
      </c>
      <c r="B31" s="27" t="str">
        <f>IFERROR((SUMIFS('Template A - Products'!$U$1:$U$30000,'Template A - Products'!$B$1:$B$30000,$A31)/SUMIFS('Template A - Products'!$R$1:$R$30000,'Template A - Products'!$B$1:$B$30000,$A31)-1)*RP_factor,"")</f>
        <v/>
      </c>
      <c r="C31" s="4"/>
      <c r="D31" s="5" t="s">
        <v>116</v>
      </c>
      <c r="E31" s="16">
        <f>E$2</f>
        <v>46142</v>
      </c>
      <c r="F31" s="16">
        <f>F$2</f>
        <v>46507</v>
      </c>
      <c r="G31" s="228"/>
      <c r="H31" s="225"/>
    </row>
    <row r="32" spans="1:8" ht="13">
      <c r="A32" s="70"/>
      <c r="B32" s="11"/>
      <c r="C32" s="4"/>
      <c r="D32" s="120"/>
      <c r="E32" s="23" t="str">
        <f>IFERROR(IF(B5='Data Entry Key'!H2,"N/A",(SUM('Template B - Financials'!Z87:AK87)/SUM('Template B - Financials'!Z12:AK12))),"")</f>
        <v/>
      </c>
      <c r="F32" s="23" t="str">
        <f>IFERROR(IF(B5='Data Entry Key'!H2,"N/A",(SUM('Template B - Financials'!AL87:AW87)/SUM('Template B - Financials'!AL12:AW12))),"")</f>
        <v/>
      </c>
      <c r="G32" s="228"/>
      <c r="H32" s="225"/>
    </row>
    <row r="33" spans="1:8" ht="13">
      <c r="A33" s="71" t="s">
        <v>117</v>
      </c>
      <c r="B33" s="12"/>
      <c r="C33" s="4"/>
      <c r="D33" s="1"/>
      <c r="E33" s="1"/>
      <c r="F33" s="1"/>
      <c r="G33" s="228"/>
      <c r="H33" s="225"/>
    </row>
    <row r="34" spans="1:8" ht="14">
      <c r="A34" s="70" t="s">
        <v>118</v>
      </c>
      <c r="B34" s="27" t="str">
        <f>IFERROR((SUMIFS('Template A - Products'!$U$1:$U$30000,'Template A - Products'!$H$1:$H$30000,$A34)/SUMIFS('Template A - Products'!$R$1:$R$30000,'Template A - Products'!$H$1:$H$30000,$A34)-1)*RP_factor,"")</f>
        <v/>
      </c>
      <c r="C34" s="4"/>
      <c r="D34" s="5" t="s">
        <v>119</v>
      </c>
      <c r="E34" s="17" t="s">
        <v>120</v>
      </c>
      <c r="F34" s="17" t="s">
        <v>121</v>
      </c>
      <c r="G34" s="228"/>
      <c r="H34" s="225"/>
    </row>
    <row r="35" spans="1:8" ht="13">
      <c r="A35" s="70" t="s">
        <v>122</v>
      </c>
      <c r="B35" s="27" t="str">
        <f>IFERROR((SUMIFS('Template A - Products'!$U$1:$U$30000,'Template A - Products'!$H$1:$H$30000,$A35)/SUMIFS('Template A - Products'!$R$1:$R$30000,'Template A - Products'!$H$1:$H$30000,$A35)-1)*RP_factor,"")</f>
        <v/>
      </c>
      <c r="C35" s="4"/>
      <c r="D35" s="1"/>
      <c r="E35" s="23">
        <f>MIN('Template A - Products'!T:T)</f>
        <v>0</v>
      </c>
      <c r="F35" s="23">
        <f>MAX('Template A - Products'!T:T)</f>
        <v>0</v>
      </c>
      <c r="G35" s="228"/>
      <c r="H35" s="225"/>
    </row>
    <row r="36" spans="1:8" ht="13">
      <c r="A36" s="70" t="s">
        <v>123</v>
      </c>
      <c r="B36" s="27" t="str">
        <f>IFERROR((SUMIFS('Template A - Products'!$U$1:$U$30000,'Template A - Products'!$H$1:$H$30000,$A36)/SUMIFS('Template A - Products'!$R$1:$R$30000,'Template A - Products'!$H$1:$H$30000,$A36)-1)*RP_factor,"")</f>
        <v/>
      </c>
      <c r="C36" s="4"/>
      <c r="D36" s="1"/>
      <c r="E36" s="1"/>
      <c r="F36" s="24"/>
      <c r="G36" s="228"/>
      <c r="H36" s="225"/>
    </row>
    <row r="37" spans="1:8" ht="13">
      <c r="A37" s="70" t="s">
        <v>124</v>
      </c>
      <c r="B37" s="27" t="str">
        <f>IFERROR((SUMIFS('Template A - Products'!$U$1:$U$30000,'Template A - Products'!$H$1:$H$30000,$A37)/SUMIFS('Template A - Products'!$R$1:$R$30000,'Template A - Products'!$H$1:$H$30000,$A37)-1)*RP_factor,"")</f>
        <v/>
      </c>
      <c r="C37" s="4"/>
      <c r="D37" s="1"/>
      <c r="E37" s="1"/>
      <c r="F37" s="24"/>
      <c r="G37" s="228"/>
      <c r="H37" s="225"/>
    </row>
    <row r="38" spans="1:8" ht="13">
      <c r="A38" s="70" t="s">
        <v>125</v>
      </c>
      <c r="B38" s="27" t="str">
        <f>IFERROR((SUMIFS('Template A - Products'!$U$1:$U$30000,'Template A - Products'!$H$1:$H$30000,$A38)/SUMIFS('Template A - Products'!$R$1:$R$30000,'Template A - Products'!$H$1:$H$30000,$A38)-1)*RP_factor,"")</f>
        <v/>
      </c>
      <c r="C38" s="4"/>
      <c r="D38" s="1"/>
      <c r="E38" s="1"/>
      <c r="F38" s="24"/>
      <c r="G38" s="228"/>
      <c r="H38" s="225"/>
    </row>
    <row r="39" spans="1:8" ht="13">
      <c r="A39" s="70" t="s">
        <v>13</v>
      </c>
      <c r="B39" s="27" t="str">
        <f>IFERROR((SUMIFS('Template A - Products'!$U$1:$U$30000,'Template A - Products'!$H$1:$H$30000,$A39)/SUMIFS('Template A - Products'!$R$1:$R$30000,'Template A - Products'!$H$1:$H$30000,$A39)-1)*RP_factor,"")</f>
        <v/>
      </c>
      <c r="C39" s="4"/>
      <c r="D39" s="1"/>
      <c r="E39" s="1"/>
      <c r="F39" s="24"/>
      <c r="G39" s="228"/>
      <c r="H39" s="225"/>
    </row>
    <row r="40" spans="1:8" ht="13">
      <c r="A40" s="70" t="s">
        <v>126</v>
      </c>
      <c r="B40" s="27" t="str">
        <f>IFERROR((SUMIFS('Template A - Products'!$U$1:$U$30000,'Template A - Products'!$H$1:$H$30000,$A40)/SUMIFS('Template A - Products'!$R$1:$R$30000,'Template A - Products'!$H$1:$H$30000,$A40)-1)*RP_factor,"")</f>
        <v/>
      </c>
      <c r="C40" s="4"/>
      <c r="D40" s="1"/>
      <c r="E40" s="1"/>
      <c r="F40" s="24"/>
      <c r="G40" s="228"/>
      <c r="H40" s="225"/>
    </row>
    <row r="41" spans="1:8" ht="13">
      <c r="A41" s="70" t="s">
        <v>127</v>
      </c>
      <c r="B41" s="27" t="str">
        <f>IFERROR((SUMIFS('Template A - Products'!$U$1:$U$30000,'Template A - Products'!$H$1:$H$30000,$A41)/SUMIFS('Template A - Products'!$R$1:$R$30000,'Template A - Products'!$H$1:$H$30000,$A41)-1)*RP_factor,"")</f>
        <v/>
      </c>
      <c r="C41" s="4"/>
      <c r="D41" s="1"/>
      <c r="E41" s="1"/>
      <c r="F41" s="24"/>
      <c r="G41" s="228"/>
      <c r="H41" s="225"/>
    </row>
    <row r="42" spans="1:8" s="271" customFormat="1" ht="13">
      <c r="A42" s="267"/>
      <c r="B42" s="268"/>
      <c r="C42" s="268"/>
      <c r="D42" s="302"/>
      <c r="E42" s="7"/>
      <c r="F42" s="1"/>
      <c r="G42" s="269"/>
      <c r="H42" s="270"/>
    </row>
    <row r="43" spans="1:8" s="493" customFormat="1" ht="13">
      <c r="A43" s="71" t="s">
        <v>128</v>
      </c>
      <c r="B43" s="519"/>
      <c r="C43" s="520"/>
      <c r="D43" s="521" t="s">
        <v>129</v>
      </c>
      <c r="E43" s="522" t="s">
        <v>12</v>
      </c>
      <c r="F43" s="522" t="s">
        <v>130</v>
      </c>
      <c r="G43" s="523" t="s">
        <v>131</v>
      </c>
      <c r="H43" s="522" t="s">
        <v>132</v>
      </c>
    </row>
    <row r="44" spans="1:8" s="493" customFormat="1" ht="13">
      <c r="A44" s="70" t="s">
        <v>11</v>
      </c>
      <c r="B44" s="27" t="str">
        <f>IFERROR((SUMIFS('Template A - Products'!$U$1:$U$30000,'Template A - Products'!$F$1:$F$30000,$A44)/SUMIFS('Template A - Products'!$R$1:$R$30000,'Template A - Products'!$F$1:$F$30000,$A44)-1)*RP_factor,"")</f>
        <v/>
      </c>
      <c r="C44" s="520"/>
      <c r="D44" s="524" t="s">
        <v>11</v>
      </c>
      <c r="E44" s="525" t="str">
        <f>IFERROR((SUMIFS('Template A - Products'!$U$1:$U$30000,'Template A - Products'!$F$1:$F$30000,$D44,'Template A - Products'!$G$1:$G$30000,E$43)/SUMIFS('Template A - Products'!$R$1:$R$30000,'Template A - Products'!$F$1:$F$30000,$D44,'Template A - Products'!$G$1:$G$30000,E$43)-1)*RP_factor,"")</f>
        <v/>
      </c>
      <c r="F44" s="27" t="str">
        <f>IFERROR((SUMIFS('Template A - Products'!$U$1:$U$30000,'Template A - Products'!$F$1:$F$30000,$D44,'Template A - Products'!$G$1:$G$30000,F$43)/SUMIFS('Template A - Products'!$R$1:$R$30000,'Template A - Products'!$F$1:$F$30000,$D44,'Template A - Products'!$G$1:$G$30000,F$43)-1)*RP_factor,"")</f>
        <v/>
      </c>
      <c r="G44" s="27" t="str">
        <f>IFERROR((SUMIFS('Template A - Products'!$U$1:$U$30000,'Template A - Products'!$F$1:$F$30000,$D44,'Template A - Products'!$G$1:$G$30000,G$43)/SUMIFS('Template A - Products'!$R$1:$R$30000,'Template A - Products'!$F$1:$F$30000,$D44,'Template A - Products'!$G$1:$G$30000,G$43)-1)*RP_factor,"")</f>
        <v/>
      </c>
      <c r="H44" s="27" t="str">
        <f>IFERROR((SUMIFS('Template A - Products'!$U$1:$U$30000,'Template A - Products'!$F$1:$F$30000,$D44,'Template A - Products'!$G$1:$G$30000,H$43)/SUMIFS('Template A - Products'!$R$1:$R$30000,'Template A - Products'!$F$1:$F$30000,$D44,'Template A - Products'!$G$1:$G$30000,H$43)-1)*RP_factor,"")</f>
        <v/>
      </c>
    </row>
    <row r="45" spans="1:8" s="493" customFormat="1" ht="13">
      <c r="A45" s="70" t="s">
        <v>17</v>
      </c>
      <c r="B45" s="27" t="str">
        <f>IFERROR((SUMIFS('Template A - Products'!$U$1:$U$30000,'Template A - Products'!$F$1:$F$30000,$A45)/SUMIFS('Template A - Products'!$R$1:$R$30000,'Template A - Products'!$F$1:$F$30000,$A45)-1)*RP_factor,"")</f>
        <v/>
      </c>
      <c r="C45" s="520"/>
      <c r="D45" s="524" t="s">
        <v>16</v>
      </c>
      <c r="E45" s="525" t="str">
        <f>IFERROR((SUMIFS('Template A - Products'!$U$1:$U$30000,'Template A - Products'!$F$1:$F$30000,$D45,'Template A - Products'!$G$1:$G$30000,E$43)/SUMIFS('Template A - Products'!$R$1:$R$30000,'Template A - Products'!$F$1:$F$30000,$D45,'Template A - Products'!$G$1:$G$30000,E$43)-1)*RP_factor,"")</f>
        <v/>
      </c>
      <c r="F45" s="27" t="str">
        <f>IFERROR((SUMIFS('Template A - Products'!$U$1:$U$30000,'Template A - Products'!$F$1:$F$30000,$D45,'Template A - Products'!$G$1:$G$30000,F$43)/SUMIFS('Template A - Products'!$R$1:$R$30000,'Template A - Products'!$F$1:$F$30000,$D45,'Template A - Products'!$G$1:$G$30000,F$43)-1)*RP_factor,"")</f>
        <v/>
      </c>
      <c r="G45" s="27" t="str">
        <f>IFERROR((SUMIFS('Template A - Products'!$U$1:$U$30000,'Template A - Products'!$F$1:$F$30000,$D45,'Template A - Products'!$G$1:$G$30000,G$43)/SUMIFS('Template A - Products'!$R$1:$R$30000,'Template A - Products'!$F$1:$F$30000,$D45,'Template A - Products'!$G$1:$G$30000,G$43)-1)*RP_factor,"")</f>
        <v/>
      </c>
      <c r="H45" s="27" t="str">
        <f>IFERROR((SUMIFS('Template A - Products'!$U$1:$U$30000,'Template A - Products'!$F$1:$F$30000,$D45,'Template A - Products'!$G$1:$G$30000,H$43)/SUMIFS('Template A - Products'!$R$1:$R$30000,'Template A - Products'!$F$1:$F$30000,$D45,'Template A - Products'!$G$1:$G$30000,H$43)-1)*RP_factor,"")</f>
        <v/>
      </c>
    </row>
    <row r="46" spans="1:8" s="493" customFormat="1" ht="13">
      <c r="A46" s="70" t="s">
        <v>16</v>
      </c>
      <c r="B46" s="27" t="str">
        <f>IFERROR((SUMIFS('Template A - Products'!$U$1:$U$30000,'Template A - Products'!$F$1:$F$30000,$A46)/SUMIFS('Template A - Products'!$R$1:$R$30000,'Template A - Products'!$F$1:$F$30000,$A46)-1)*RP_factor,"")</f>
        <v/>
      </c>
      <c r="C46" s="520"/>
      <c r="D46" s="526" t="s">
        <v>133</v>
      </c>
      <c r="E46" s="527" t="str">
        <f>IFERROR((SUMIFS('Template A - Products'!$U$1:$U$30000,'Template A - Products'!$G$1:$G$30000,E$43)/SUMIFS('Template A - Products'!$R$1:$R$30000,'Template A - Products'!$G$1:$G$30000,E$43)-1)*RP_factor,"")</f>
        <v/>
      </c>
      <c r="F46" s="27" t="str">
        <f>IFERROR((SUMIFS('Template A - Products'!$U$1:$U$30000,'Template A - Products'!$G$1:$G$30000,F$43)/SUMIFS('Template A - Products'!$R$1:$R$30000,'Template A - Products'!$G$1:$G$30000,F$43)-1)*RP_factor,"")</f>
        <v/>
      </c>
      <c r="G46" s="27" t="str">
        <f>IFERROR((SUMIFS('Template A - Products'!$U$1:$U$30000,'Template A - Products'!$G$1:$G$30000,G$43)/SUMIFS('Template A - Products'!$R$1:$R$30000,'Template A - Products'!$G$1:$G$30000,G$43)-1)*RP_factor,"")</f>
        <v/>
      </c>
      <c r="H46" s="27" t="str">
        <f>IFERROR((SUMIFS('Template A - Products'!$U$1:$U$30000,'Template A - Products'!$G$1:$G$30000,H$43)/SUMIFS('Template A - Products'!$R$1:$R$30000,'Template A - Products'!$G$1:$G$30000,H$43)-1)*RP_factor,"")</f>
        <v/>
      </c>
    </row>
    <row r="47" spans="1:8" s="493" customFormat="1" ht="13">
      <c r="A47" s="70" t="s">
        <v>134</v>
      </c>
      <c r="B47" s="27" t="str">
        <f>IFERROR((SUMIFS('Template A - Products'!$U$1:$U$30000,'Template A - Products'!$F$1:$F$30000,$A47)/SUMIFS('Template A - Products'!$R$1:$R$30000,'Template A - Products'!$F$1:$F$30000,$A47)-1)*RP_factor,"")</f>
        <v/>
      </c>
      <c r="C47" s="520"/>
      <c r="D47" s="14"/>
      <c r="E47" s="14"/>
      <c r="F47" s="528" t="s">
        <v>135</v>
      </c>
      <c r="G47" s="14"/>
      <c r="H47" s="14"/>
    </row>
    <row r="48" spans="1:8" ht="35.25" customHeight="1">
      <c r="A48" s="82" t="s">
        <v>136</v>
      </c>
      <c r="B48" s="13"/>
      <c r="C48" s="14"/>
      <c r="D48" s="14"/>
      <c r="E48" s="14"/>
      <c r="F48" s="14"/>
      <c r="G48" s="1"/>
      <c r="H48" s="226"/>
    </row>
    <row r="49" spans="1:8" ht="13">
      <c r="A49" s="72" t="s">
        <v>137</v>
      </c>
      <c r="B49" s="14"/>
      <c r="C49" s="14"/>
      <c r="D49" s="14"/>
      <c r="E49" s="14"/>
      <c r="F49" s="14"/>
      <c r="G49" s="1"/>
      <c r="H49" s="225"/>
    </row>
    <row r="50" spans="1:8" ht="13">
      <c r="A50" s="73" t="s">
        <v>138</v>
      </c>
      <c r="B50" s="14"/>
      <c r="C50" s="14"/>
      <c r="D50" s="42"/>
      <c r="E50" s="14"/>
      <c r="F50" s="14"/>
      <c r="G50" s="15">
        <f>E25</f>
        <v>46142</v>
      </c>
      <c r="H50" s="225"/>
    </row>
    <row r="51" spans="1:8" ht="13">
      <c r="A51" s="74"/>
      <c r="B51" s="14"/>
      <c r="C51" s="14"/>
      <c r="D51" s="44" t="s">
        <v>139</v>
      </c>
      <c r="E51" s="43"/>
      <c r="F51" s="45"/>
      <c r="G51" s="75"/>
      <c r="H51" s="225"/>
    </row>
    <row r="52" spans="1:8" ht="13">
      <c r="A52" s="74"/>
      <c r="B52" s="14"/>
      <c r="C52" s="14"/>
      <c r="D52" s="60" t="s">
        <v>140</v>
      </c>
      <c r="E52" s="60" t="s">
        <v>141</v>
      </c>
      <c r="F52" s="60" t="s">
        <v>142</v>
      </c>
      <c r="G52" s="77"/>
      <c r="H52" s="225"/>
    </row>
    <row r="53" spans="1:8" ht="13">
      <c r="A53" s="74"/>
      <c r="B53" s="14"/>
      <c r="C53" s="14"/>
      <c r="D53" s="80" t="s">
        <v>143</v>
      </c>
      <c r="E53" s="51"/>
      <c r="F53" s="51"/>
      <c r="G53" s="77"/>
      <c r="H53" s="225"/>
    </row>
    <row r="54" spans="1:8" ht="13">
      <c r="A54" s="74"/>
      <c r="B54" s="14"/>
      <c r="C54" s="14"/>
      <c r="D54" s="28"/>
      <c r="E54" s="25"/>
      <c r="F54" s="46"/>
      <c r="G54" s="77"/>
      <c r="H54" s="225"/>
    </row>
    <row r="55" spans="1:8" ht="13">
      <c r="A55" s="74"/>
      <c r="B55" s="14"/>
      <c r="C55" s="14"/>
      <c r="D55" s="28"/>
      <c r="E55" s="25"/>
      <c r="F55" s="46"/>
      <c r="G55" s="77"/>
      <c r="H55" s="225"/>
    </row>
    <row r="56" spans="1:8" ht="13">
      <c r="A56" s="74"/>
      <c r="B56" s="14"/>
      <c r="C56" s="14"/>
      <c r="D56" s="28"/>
      <c r="E56" s="25"/>
      <c r="F56" s="46"/>
      <c r="G56" s="77"/>
      <c r="H56" s="225"/>
    </row>
    <row r="57" spans="1:8" ht="13">
      <c r="A57" s="74"/>
      <c r="B57" s="14"/>
      <c r="C57" s="14"/>
      <c r="D57" s="28"/>
      <c r="E57" s="25"/>
      <c r="F57" s="46"/>
      <c r="G57" s="77"/>
      <c r="H57" s="225"/>
    </row>
    <row r="58" spans="1:8" ht="13">
      <c r="A58" s="74"/>
      <c r="B58" s="14"/>
      <c r="C58" s="14"/>
      <c r="D58" s="28"/>
      <c r="E58" s="25"/>
      <c r="F58" s="46"/>
      <c r="G58" s="77"/>
      <c r="H58" s="225"/>
    </row>
    <row r="59" spans="1:8" ht="13">
      <c r="A59" s="74"/>
      <c r="B59" s="14"/>
      <c r="C59" s="14"/>
      <c r="D59" s="28"/>
      <c r="E59" s="25"/>
      <c r="F59" s="46"/>
      <c r="G59" s="77"/>
      <c r="H59" s="225"/>
    </row>
    <row r="60" spans="1:8" ht="13">
      <c r="A60" s="74"/>
      <c r="B60" s="14"/>
      <c r="C60" s="14"/>
      <c r="D60" s="28"/>
      <c r="E60" s="25"/>
      <c r="F60" s="46"/>
      <c r="G60" s="77"/>
      <c r="H60" s="225"/>
    </row>
    <row r="61" spans="1:8" ht="13">
      <c r="A61" s="74"/>
      <c r="B61" s="14"/>
      <c r="C61" s="14"/>
      <c r="D61" s="28"/>
      <c r="E61" s="25"/>
      <c r="F61" s="46"/>
      <c r="G61" s="77"/>
      <c r="H61" s="225"/>
    </row>
    <row r="62" spans="1:8" ht="13">
      <c r="A62" s="74"/>
      <c r="B62" s="14"/>
      <c r="C62" s="14"/>
      <c r="D62" s="28"/>
      <c r="E62" s="25"/>
      <c r="F62" s="46"/>
      <c r="G62" s="77"/>
      <c r="H62" s="225"/>
    </row>
    <row r="63" spans="1:8" ht="13">
      <c r="A63" s="74"/>
      <c r="B63" s="14"/>
      <c r="C63" s="14"/>
      <c r="D63" s="47" t="s">
        <v>46</v>
      </c>
      <c r="E63" s="48"/>
      <c r="F63" s="45"/>
      <c r="G63" s="76"/>
      <c r="H63" s="225"/>
    </row>
    <row r="64" spans="1:8" ht="13">
      <c r="A64" s="74"/>
      <c r="B64" s="14"/>
      <c r="C64" s="14"/>
      <c r="D64" s="590" t="s">
        <v>144</v>
      </c>
      <c r="E64" s="591"/>
      <c r="F64" s="592"/>
      <c r="G64" s="77"/>
      <c r="H64" s="225"/>
    </row>
    <row r="65" spans="1:8" ht="13">
      <c r="A65" s="74"/>
      <c r="B65" s="14"/>
      <c r="C65" s="14"/>
      <c r="D65" s="590"/>
      <c r="E65" s="591"/>
      <c r="F65" s="592"/>
      <c r="G65" s="77"/>
      <c r="H65" s="225"/>
    </row>
    <row r="66" spans="1:8" ht="13">
      <c r="A66" s="74"/>
      <c r="B66" s="14"/>
      <c r="C66" s="14"/>
      <c r="D66" s="590"/>
      <c r="E66" s="591"/>
      <c r="F66" s="592"/>
      <c r="G66" s="77"/>
      <c r="H66" s="225"/>
    </row>
    <row r="67" spans="1:8" ht="13">
      <c r="A67" s="74"/>
      <c r="B67" s="14"/>
      <c r="C67" s="14"/>
      <c r="D67" s="590"/>
      <c r="E67" s="591"/>
      <c r="F67" s="592"/>
      <c r="G67" s="77"/>
      <c r="H67" s="225"/>
    </row>
    <row r="68" spans="1:8" ht="13">
      <c r="A68" s="74"/>
      <c r="B68" s="14"/>
      <c r="C68" s="14"/>
      <c r="D68" s="590"/>
      <c r="E68" s="591"/>
      <c r="F68" s="592"/>
      <c r="G68" s="77"/>
      <c r="H68" s="225"/>
    </row>
    <row r="69" spans="1:8" ht="13">
      <c r="A69" s="72"/>
      <c r="B69" s="14"/>
      <c r="C69" s="14"/>
      <c r="D69" s="14"/>
      <c r="E69" s="14"/>
      <c r="F69" s="14"/>
      <c r="G69" s="1"/>
      <c r="H69" s="225"/>
    </row>
    <row r="70" spans="1:8" ht="13">
      <c r="A70" s="70"/>
      <c r="B70" s="1"/>
      <c r="C70" s="6"/>
      <c r="D70" s="1"/>
      <c r="E70" s="1"/>
      <c r="F70" s="14"/>
      <c r="G70" s="1"/>
      <c r="H70" s="225"/>
    </row>
    <row r="71" spans="1:8" ht="13">
      <c r="A71" s="1"/>
      <c r="B71" s="1"/>
      <c r="C71" s="1"/>
      <c r="D71" s="6"/>
      <c r="E71" s="6"/>
      <c r="F71" s="6"/>
      <c r="G71" s="6"/>
      <c r="H71" s="225"/>
    </row>
  </sheetData>
  <mergeCells count="9">
    <mergeCell ref="D68:F68"/>
    <mergeCell ref="E24:F24"/>
    <mergeCell ref="A23:D23"/>
    <mergeCell ref="A22:B22"/>
    <mergeCell ref="D22:G22"/>
    <mergeCell ref="D67:F67"/>
    <mergeCell ref="D64:F64"/>
    <mergeCell ref="D65:F65"/>
    <mergeCell ref="D66:F66"/>
  </mergeCells>
  <dataValidations count="1">
    <dataValidation type="list" showInputMessage="1" showErrorMessage="1" promptTitle="Insurer Name" prompt="Please select from the drop-down menu" sqref="B3" xr:uid="{00000000-0002-0000-0200-000000000000}">
      <formula1>Insurer_Name</formula1>
    </dataValidation>
  </dataValidations>
  <pageMargins left="0.70866141732283472" right="0.70866141732283472" top="0.74803149606299213" bottom="0.74803149606299213" header="0.31496062992125984" footer="0.31496062992125984"/>
  <pageSetup paperSize="8" scale="77" orientation="landscape" r:id="rId1"/>
  <headerFooter>
    <oddHeader>&amp;C&amp;"Calibri"&amp;12&amp;KFF0000 OFFICIAL&amp;1#_x000D_</oddHeader>
    <oddFooter>&amp;C_x000D_&amp;1#&amp;"Calibri"&amp;12&amp;KFF0000 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AW71"/>
  <sheetViews>
    <sheetView workbookViewId="0"/>
  </sheetViews>
  <sheetFormatPr defaultColWidth="0" defaultRowHeight="12.5" zeroHeight="1"/>
  <cols>
    <col min="1" max="1" width="54.26953125" style="49" customWidth="1"/>
    <col min="2" max="3" width="10.81640625" style="49" customWidth="1"/>
    <col min="4" max="4" width="9.453125" style="49" customWidth="1"/>
    <col min="5" max="8" width="10.81640625" style="49" customWidth="1"/>
    <col min="9" max="11" width="9.26953125" style="49" customWidth="1"/>
    <col min="12" max="12" width="1.26953125" style="49" customWidth="1"/>
    <col min="13" max="13" width="9.26953125" style="49" hidden="1" customWidth="1"/>
    <col min="14" max="15" width="9.453125" style="49" hidden="1" customWidth="1"/>
    <col min="16" max="16384" width="9.453125" style="3" hidden="1"/>
  </cols>
  <sheetData>
    <row r="1" spans="1:49" ht="20.149999999999999" customHeight="1">
      <c r="A1" s="156" t="str">
        <f>"TEMPLATE D - Various - " &amp; prem_round &amp; " Premium Round - Protected information under PHI Act 2007 when completed"</f>
        <v>TEMPLATE D - Various - 2026 Premium Round - Protected information under PHI Act 2007 when completed</v>
      </c>
      <c r="B1" s="157"/>
      <c r="C1" s="157"/>
      <c r="D1" s="157"/>
      <c r="E1" s="157"/>
      <c r="F1" s="157"/>
      <c r="G1" s="157"/>
      <c r="H1" s="157"/>
      <c r="I1" s="157"/>
      <c r="J1" s="157"/>
      <c r="K1" s="157"/>
      <c r="L1" s="157"/>
      <c r="M1" s="158"/>
      <c r="N1" s="59"/>
      <c r="O1" s="59"/>
    </row>
    <row r="2" spans="1:49" ht="13">
      <c r="A2" s="206" t="s">
        <v>1</v>
      </c>
      <c r="B2" s="588" t="str">
        <f>IF('Template C - Snapshot'!$B$3="","",'Template C - Snapshot'!$B$3)</f>
        <v/>
      </c>
      <c r="C2" s="589"/>
      <c r="D2" s="589"/>
      <c r="E2" s="589"/>
      <c r="M2" s="61"/>
    </row>
    <row r="3" spans="1:49" ht="40" customHeight="1">
      <c r="A3" s="81" t="s">
        <v>392</v>
      </c>
      <c r="B3" s="510" t="s">
        <v>19</v>
      </c>
      <c r="C3" s="511" t="s">
        <v>145</v>
      </c>
      <c r="D3" s="510" t="s">
        <v>146</v>
      </c>
      <c r="E3" s="510"/>
      <c r="F3" s="510"/>
      <c r="N3" s="3"/>
      <c r="O3" s="3"/>
    </row>
    <row r="4" spans="1:49" ht="16.5" customHeight="1">
      <c r="A4" s="148" t="s">
        <v>102</v>
      </c>
      <c r="B4" s="173">
        <f>EOMONTH(D4, -12)</f>
        <v>45412</v>
      </c>
      <c r="C4" s="295" t="str">
        <f>TEXT(EOMONTH(E4, -12),"mmm yy")</f>
        <v>Apr 25</v>
      </c>
      <c r="D4" s="173">
        <f>EOMONTH(E4, -12)</f>
        <v>45777</v>
      </c>
      <c r="E4" s="173">
        <f>EOMONTH(F4, -12)</f>
        <v>46142</v>
      </c>
      <c r="F4" s="173">
        <f>DATE(prem_year, 4, 30)</f>
        <v>46507</v>
      </c>
      <c r="N4" s="3"/>
      <c r="O4" s="3"/>
    </row>
    <row r="5" spans="1:49" ht="16.5" customHeight="1">
      <c r="A5" s="221" t="s">
        <v>12</v>
      </c>
      <c r="B5" s="296"/>
      <c r="C5" s="330"/>
      <c r="D5" s="296"/>
      <c r="E5" s="296"/>
      <c r="F5" s="296"/>
      <c r="N5" s="3"/>
      <c r="O5" s="3"/>
    </row>
    <row r="6" spans="1:49" ht="16.5" customHeight="1">
      <c r="A6" s="221" t="s">
        <v>130</v>
      </c>
      <c r="B6" s="296"/>
      <c r="C6" s="330"/>
      <c r="D6" s="296"/>
      <c r="E6" s="296"/>
      <c r="F6" s="296"/>
      <c r="N6" s="3"/>
      <c r="O6" s="3"/>
    </row>
    <row r="7" spans="1:49" ht="16.5" customHeight="1">
      <c r="A7" s="221" t="s">
        <v>131</v>
      </c>
      <c r="B7" s="296"/>
      <c r="C7" s="330"/>
      <c r="D7" s="296"/>
      <c r="E7" s="296"/>
      <c r="F7" s="296"/>
      <c r="N7" s="3"/>
      <c r="O7" s="3"/>
    </row>
    <row r="8" spans="1:49" ht="16.5" customHeight="1">
      <c r="A8" s="221" t="s">
        <v>132</v>
      </c>
      <c r="B8" s="296"/>
      <c r="C8" s="330"/>
      <c r="D8" s="296"/>
      <c r="E8" s="296"/>
      <c r="F8" s="296"/>
      <c r="N8" s="3"/>
      <c r="O8" s="3"/>
    </row>
    <row r="9" spans="1:49" ht="16.5" customHeight="1">
      <c r="A9" s="52" t="s">
        <v>393</v>
      </c>
      <c r="B9" s="400" t="e">
        <f>1-(SUM('Template B - Financials'!B19:M19)-SUM('Template B - Financials'!B16:M16))/SUM('Template B - Financials'!B10:M10)</f>
        <v>#DIV/0!</v>
      </c>
      <c r="C9" s="330"/>
      <c r="D9" s="401" t="e">
        <f>1-(SUM('Template B - Financials'!N19:Y19)-SUM('Template B - Financials'!N16:Y16))/SUM('Template B - Financials'!N10:Y10)</f>
        <v>#DIV/0!</v>
      </c>
      <c r="E9" s="401" t="e">
        <f>1-(SUM('Template B - Financials'!Z19:AK19)-SUM('Template B - Financials'!Z16:AK16))/SUM('Template B - Financials'!Z10:AK10)</f>
        <v>#DIV/0!</v>
      </c>
      <c r="F9" s="400" t="e">
        <f>1-(SUM('Template B - Financials'!AL19:AW19)-SUM('Template B - Financials'!AL16:AW16))/SUM('Template B - Financials'!AL10:AW10)</f>
        <v>#DIV/0!</v>
      </c>
      <c r="N9" s="3"/>
      <c r="O9" s="3"/>
    </row>
    <row r="10" spans="1:49" ht="16.5" customHeight="1">
      <c r="A10" s="52" t="s">
        <v>147</v>
      </c>
      <c r="B10" s="400" t="e">
        <f>1-(SUM('Template B - Financials'!B16:M16))/SUM('Template B - Financials'!B11:M11)</f>
        <v>#DIV/0!</v>
      </c>
      <c r="C10" s="512"/>
      <c r="D10" s="401" t="e">
        <f>1-(SUM('Template B - Financials'!N16:Y16))/SUM('Template B - Financials'!N11:Y11)</f>
        <v>#DIV/0!</v>
      </c>
      <c r="E10" s="401" t="e">
        <f>1-(SUM('Template B - Financials'!Z16:AK16))/SUM('Template B - Financials'!Z11:AK11)</f>
        <v>#DIV/0!</v>
      </c>
      <c r="F10" s="513" t="e">
        <f>1-(SUM('Template B - Financials'!AL16:AW16))/SUM('Template B - Financials'!AL11:AW11)</f>
        <v>#DIV/0!</v>
      </c>
      <c r="N10" s="3"/>
      <c r="O10" s="3"/>
    </row>
    <row r="11" spans="1:49">
      <c r="A11" s="514" t="s">
        <v>394</v>
      </c>
      <c r="B11" s="515"/>
    </row>
    <row r="12" spans="1:49">
      <c r="A12" s="514" t="s">
        <v>395</v>
      </c>
      <c r="M12" s="61"/>
    </row>
    <row r="13" spans="1:49">
      <c r="A13" s="223"/>
      <c r="M13" s="61"/>
    </row>
    <row r="14" spans="1:49">
      <c r="A14" s="223"/>
    </row>
    <row r="15" spans="1:49" ht="15.5">
      <c r="A15" s="163" t="str">
        <f>"Target margins - Premium year commencing April " &amp;  prem_round</f>
        <v>Target margins - Premium year commencing April 2026</v>
      </c>
      <c r="B15" s="119"/>
      <c r="C15" s="119"/>
      <c r="D15" s="119"/>
      <c r="E15" s="119"/>
      <c r="F15" s="119"/>
      <c r="G15" s="119"/>
      <c r="H15" s="97"/>
      <c r="I15" s="97"/>
      <c r="J15" s="97"/>
      <c r="K15" s="97"/>
    </row>
    <row r="16" spans="1:49" s="169" customFormat="1" ht="15.65" customHeight="1">
      <c r="A16" s="516"/>
      <c r="B16" s="610" t="s">
        <v>405</v>
      </c>
      <c r="C16" s="611"/>
      <c r="D16" s="612"/>
      <c r="E16" s="610" t="s">
        <v>384</v>
      </c>
      <c r="F16" s="611"/>
      <c r="G16" s="612"/>
      <c r="H16" s="168"/>
      <c r="I16" s="168"/>
      <c r="J16" s="168"/>
      <c r="K16" s="168"/>
      <c r="L16" s="168"/>
      <c r="M16" s="168"/>
      <c r="N16" s="168"/>
      <c r="O16" s="168"/>
      <c r="P16" s="168"/>
      <c r="Q16" s="168"/>
      <c r="R16" s="168"/>
      <c r="S16" s="168"/>
      <c r="T16" s="168"/>
      <c r="U16" s="168"/>
      <c r="V16" s="168"/>
      <c r="W16" s="168"/>
      <c r="X16" s="168"/>
      <c r="Y16" s="168"/>
      <c r="Z16" s="168"/>
      <c r="AA16" s="168"/>
      <c r="AB16" s="168"/>
      <c r="AC16" s="168"/>
      <c r="AD16" s="168"/>
      <c r="AE16" s="168"/>
      <c r="AF16" s="168"/>
      <c r="AG16" s="168"/>
      <c r="AH16" s="168"/>
      <c r="AI16" s="168"/>
      <c r="AJ16" s="168"/>
      <c r="AK16" s="168"/>
      <c r="AL16" s="168"/>
      <c r="AM16" s="168"/>
      <c r="AN16" s="168"/>
      <c r="AO16" s="168"/>
      <c r="AP16" s="168"/>
      <c r="AQ16" s="168"/>
      <c r="AR16" s="168"/>
      <c r="AS16" s="168"/>
      <c r="AT16" s="168"/>
      <c r="AU16" s="168"/>
      <c r="AV16" s="168"/>
      <c r="AW16" s="168"/>
    </row>
    <row r="17" spans="1:49" s="166" customFormat="1" ht="13">
      <c r="A17" s="176" t="s">
        <v>148</v>
      </c>
      <c r="B17" s="517" t="s">
        <v>149</v>
      </c>
      <c r="C17" s="517" t="s">
        <v>150</v>
      </c>
      <c r="D17" s="517" t="s">
        <v>151</v>
      </c>
      <c r="E17" s="518" t="s">
        <v>149</v>
      </c>
      <c r="F17" s="517" t="s">
        <v>150</v>
      </c>
      <c r="G17" s="517" t="s">
        <v>151</v>
      </c>
      <c r="H17" s="150"/>
      <c r="I17" s="150"/>
      <c r="J17" s="150"/>
      <c r="K17" s="150"/>
      <c r="L17" s="150"/>
      <c r="M17" s="150"/>
      <c r="N17" s="150"/>
      <c r="O17" s="290"/>
      <c r="P17" s="290"/>
      <c r="Q17" s="290"/>
      <c r="R17" s="290"/>
      <c r="S17" s="290"/>
      <c r="T17" s="290"/>
      <c r="U17" s="290"/>
      <c r="V17" s="290"/>
      <c r="W17" s="150"/>
      <c r="X17" s="150"/>
      <c r="Y17" s="150"/>
      <c r="Z17" s="150"/>
      <c r="AA17" s="150"/>
      <c r="AB17" s="150"/>
      <c r="AC17" s="150"/>
      <c r="AD17" s="150"/>
      <c r="AE17" s="150"/>
      <c r="AF17" s="150"/>
      <c r="AG17" s="150"/>
      <c r="AH17" s="150"/>
      <c r="AI17" s="150"/>
      <c r="AJ17" s="150"/>
      <c r="AK17" s="150"/>
      <c r="AL17" s="150"/>
      <c r="AM17" s="150"/>
      <c r="AN17" s="150"/>
      <c r="AO17" s="150"/>
      <c r="AP17" s="150"/>
      <c r="AQ17" s="150"/>
      <c r="AR17" s="150"/>
      <c r="AS17" s="150"/>
      <c r="AT17" s="150"/>
      <c r="AU17" s="150"/>
      <c r="AV17" s="150"/>
      <c r="AW17" s="150"/>
    </row>
    <row r="18" spans="1:49" s="166" customFormat="1" ht="16" customHeight="1">
      <c r="A18" s="50" t="s">
        <v>152</v>
      </c>
      <c r="B18" s="495"/>
      <c r="C18" s="495"/>
      <c r="D18" s="495"/>
      <c r="E18" s="495"/>
      <c r="F18" s="495"/>
      <c r="G18" s="495"/>
      <c r="H18" s="150"/>
      <c r="I18" s="150"/>
      <c r="J18" s="150"/>
      <c r="K18" s="150"/>
      <c r="L18" s="150"/>
      <c r="M18" s="150"/>
      <c r="N18" s="150"/>
      <c r="O18" s="290"/>
      <c r="P18" s="290"/>
      <c r="Q18" s="290"/>
      <c r="R18" s="290"/>
      <c r="S18" s="290"/>
      <c r="T18" s="290"/>
      <c r="U18" s="290"/>
      <c r="V18" s="29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row>
    <row r="19" spans="1:49" s="166" customFormat="1" ht="16" customHeight="1">
      <c r="A19" s="50" t="s">
        <v>153</v>
      </c>
      <c r="B19" s="495"/>
      <c r="C19" s="495"/>
      <c r="D19" s="495"/>
      <c r="E19" s="495"/>
      <c r="F19" s="495"/>
      <c r="G19" s="495"/>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row>
    <row r="20" spans="1:49" s="166" customFormat="1" ht="16" customHeight="1">
      <c r="A20" s="50" t="s">
        <v>154</v>
      </c>
      <c r="B20" s="495"/>
      <c r="C20" s="495"/>
      <c r="D20" s="495"/>
      <c r="E20" s="495"/>
      <c r="F20" s="495"/>
      <c r="G20" s="495"/>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0"/>
      <c r="AL20" s="150"/>
      <c r="AM20" s="150"/>
      <c r="AN20" s="150"/>
      <c r="AO20" s="150"/>
      <c r="AP20" s="150"/>
      <c r="AQ20" s="150"/>
      <c r="AR20" s="150"/>
      <c r="AS20" s="150"/>
      <c r="AT20" s="150"/>
      <c r="AU20" s="150"/>
      <c r="AV20" s="150"/>
      <c r="AW20" s="150"/>
    </row>
    <row r="21" spans="1:49" s="166" customFormat="1">
      <c r="A21" s="223" t="s">
        <v>396</v>
      </c>
      <c r="B21" s="150"/>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row>
    <row r="22" spans="1:49" s="166" customFormat="1">
      <c r="A22" s="150"/>
      <c r="B22" s="150"/>
      <c r="C22" s="150"/>
      <c r="D22" s="150"/>
      <c r="E22" s="150"/>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row>
    <row r="23" spans="1:49" ht="14">
      <c r="A23" s="81" t="s">
        <v>155</v>
      </c>
      <c r="M23" s="61"/>
    </row>
    <row r="24" spans="1:49" ht="15.65" customHeight="1">
      <c r="A24" s="618" t="s">
        <v>102</v>
      </c>
      <c r="B24" s="619"/>
      <c r="C24" s="619"/>
      <c r="D24" s="619"/>
      <c r="E24" s="620"/>
      <c r="F24" s="173">
        <f>E4</f>
        <v>46142</v>
      </c>
      <c r="G24" s="174"/>
      <c r="H24" s="173">
        <f>F4</f>
        <v>46507</v>
      </c>
      <c r="I24" s="174"/>
      <c r="J24" s="173">
        <f>EOMONTH(H24, 12)</f>
        <v>46873</v>
      </c>
      <c r="K24" s="174"/>
      <c r="M24" s="61"/>
    </row>
    <row r="25" spans="1:49" ht="15.75" customHeight="1">
      <c r="A25" s="613" t="s">
        <v>156</v>
      </c>
      <c r="B25" s="614"/>
      <c r="C25" s="614"/>
      <c r="D25" s="614"/>
      <c r="E25" s="615"/>
      <c r="F25" s="616"/>
      <c r="G25" s="617"/>
      <c r="H25" s="623"/>
      <c r="I25" s="624"/>
      <c r="J25" s="623"/>
      <c r="K25" s="624"/>
      <c r="M25" s="61"/>
    </row>
    <row r="26" spans="1:49" ht="34.5" customHeight="1">
      <c r="A26" s="81" t="s">
        <v>157</v>
      </c>
      <c r="B26" s="5"/>
      <c r="C26" s="5"/>
      <c r="D26" s="5"/>
      <c r="E26" s="5"/>
      <c r="F26" s="5"/>
      <c r="G26" s="5"/>
      <c r="M26" s="61"/>
    </row>
    <row r="27" spans="1:49" ht="16" customHeight="1">
      <c r="A27" s="618" t="s">
        <v>102</v>
      </c>
      <c r="B27" s="619"/>
      <c r="C27" s="619"/>
      <c r="D27" s="619"/>
      <c r="E27" s="620"/>
      <c r="F27" s="173">
        <f>F$24</f>
        <v>46142</v>
      </c>
      <c r="G27" s="174"/>
      <c r="H27" s="173">
        <f>H$24</f>
        <v>46507</v>
      </c>
      <c r="I27" s="174"/>
      <c r="M27" s="61"/>
    </row>
    <row r="28" spans="1:49" ht="13">
      <c r="A28" s="632" t="s">
        <v>158</v>
      </c>
      <c r="B28" s="633"/>
      <c r="C28" s="633"/>
      <c r="D28" s="633"/>
      <c r="E28" s="634"/>
      <c r="F28" s="623"/>
      <c r="G28" s="624"/>
      <c r="H28" s="623"/>
      <c r="I28" s="624"/>
      <c r="M28" s="61"/>
    </row>
    <row r="29" spans="1:49" ht="13">
      <c r="A29" s="629" t="str">
        <f>"Estimated migration of policies due to dependent reform over the 12 months from 1 April " &amp; prem_round</f>
        <v>Estimated migration of policies due to dependent reform over the 12 months from 1 April 2026</v>
      </c>
      <c r="B29" s="630"/>
      <c r="C29" s="630"/>
      <c r="D29" s="630"/>
      <c r="E29" s="631"/>
      <c r="F29" s="635">
        <f>IFERROR(SUMIF('Template A - Products'!W:W,"&lt;0",'Template A - Products'!W:W),"")</f>
        <v>0</v>
      </c>
      <c r="G29" s="636"/>
      <c r="H29" s="625"/>
      <c r="I29" s="626"/>
      <c r="M29" s="61"/>
    </row>
    <row r="30" spans="1:49" ht="13">
      <c r="A30" s="629" t="str">
        <f>"Estimated " &amp; prem_round &amp; " monthly premium ($) adjusted due to dependents reform migration"</f>
        <v>Estimated 2026 monthly premium ($) adjusted due to dependents reform migration</v>
      </c>
      <c r="B30" s="630"/>
      <c r="C30" s="630"/>
      <c r="D30" s="630"/>
      <c r="E30" s="631"/>
      <c r="F30" s="635">
        <f>IFERROR(SUMPRODUCT('Template A - Products'!X:X,'Template A - Products'!P:P),"")</f>
        <v>0</v>
      </c>
      <c r="G30" s="636"/>
      <c r="H30" s="53"/>
      <c r="M30" s="61"/>
    </row>
    <row r="31" spans="1:49" ht="13">
      <c r="A31" s="629" t="s">
        <v>159</v>
      </c>
      <c r="B31" s="630"/>
      <c r="C31" s="630"/>
      <c r="D31" s="630"/>
      <c r="E31" s="631"/>
      <c r="F31" s="635">
        <f>IFERROR(SUMPRODUCT('Template A - Products'!O:O,'Template A - Products'!R:R),"")</f>
        <v>0</v>
      </c>
      <c r="G31" s="636"/>
      <c r="M31" s="61"/>
    </row>
    <row r="32" spans="1:49" ht="13">
      <c r="A32" s="629" t="s">
        <v>160</v>
      </c>
      <c r="B32" s="630"/>
      <c r="C32" s="630"/>
      <c r="D32" s="630"/>
      <c r="E32" s="631"/>
      <c r="F32" s="627" t="str">
        <f>IFERROR(F30/SUM($F31:G31),"")</f>
        <v/>
      </c>
      <c r="G32" s="628"/>
      <c r="H32" s="54"/>
      <c r="M32" s="61"/>
    </row>
    <row r="33" spans="1:13" ht="22.5" customHeight="1">
      <c r="A33" s="63" t="s">
        <v>161</v>
      </c>
      <c r="B33" s="336"/>
      <c r="C33" s="337"/>
      <c r="D33" s="337"/>
      <c r="E33" s="337"/>
      <c r="F33" s="337"/>
      <c r="G33" s="337"/>
      <c r="H33" s="337"/>
      <c r="I33" s="337"/>
      <c r="J33" s="337"/>
      <c r="K33" s="338"/>
      <c r="M33" s="61"/>
    </row>
    <row r="34" spans="1:13">
      <c r="M34" s="61"/>
    </row>
    <row r="35" spans="1:13">
      <c r="M35" s="61"/>
    </row>
    <row r="36" spans="1:13" ht="13">
      <c r="A36" s="604" t="s">
        <v>162</v>
      </c>
      <c r="B36" s="605"/>
      <c r="C36" s="605"/>
      <c r="D36" s="605"/>
      <c r="E36" s="605"/>
      <c r="F36" s="606"/>
      <c r="G36" s="97" t="s">
        <v>163</v>
      </c>
      <c r="H36" s="97"/>
      <c r="I36" s="97"/>
      <c r="J36" s="97"/>
      <c r="K36" s="97"/>
      <c r="L36" s="97" t="s">
        <v>163</v>
      </c>
      <c r="M36" s="61"/>
    </row>
    <row r="37" spans="1:13" ht="39">
      <c r="A37" s="98" t="s">
        <v>164</v>
      </c>
      <c r="B37" s="607" t="s">
        <v>165</v>
      </c>
      <c r="C37" s="608"/>
      <c r="D37" s="608"/>
      <c r="E37" s="608"/>
      <c r="F37" s="609"/>
      <c r="G37" s="97" t="s">
        <v>163</v>
      </c>
      <c r="H37" s="97"/>
      <c r="I37" s="97"/>
      <c r="J37" s="97"/>
      <c r="K37" s="97"/>
      <c r="L37" s="97" t="s">
        <v>163</v>
      </c>
      <c r="M37" s="61"/>
    </row>
    <row r="38" spans="1:13">
      <c r="A38" s="119" t="s">
        <v>163</v>
      </c>
      <c r="B38" s="119" t="s">
        <v>163</v>
      </c>
      <c r="C38" s="119" t="s">
        <v>163</v>
      </c>
      <c r="D38" s="119" t="s">
        <v>163</v>
      </c>
      <c r="E38" s="119" t="s">
        <v>163</v>
      </c>
      <c r="F38" s="119" t="s">
        <v>163</v>
      </c>
      <c r="G38" s="97" t="s">
        <v>163</v>
      </c>
      <c r="H38" s="97"/>
      <c r="I38" s="97"/>
      <c r="J38" s="97"/>
      <c r="K38" s="97"/>
      <c r="L38" s="97" t="s">
        <v>163</v>
      </c>
      <c r="M38" s="61"/>
    </row>
    <row r="39" spans="1:13" ht="12.75" customHeight="1">
      <c r="A39" s="81" t="str">
        <f>"Largest products with FY" &amp; TEXT(EOMONTH(prem_year_start, -12), "yy") &amp; " gross margins less than gross margin target percent OR less than the expense ratio"</f>
        <v>Largest products with FY25 gross margins less than gross margin target percent OR less than the expense ratio</v>
      </c>
      <c r="B39" s="5"/>
      <c r="C39" s="5"/>
      <c r="D39" s="5"/>
      <c r="E39" s="5"/>
      <c r="F39" s="5"/>
      <c r="G39" s="5"/>
      <c r="I39" s="97"/>
      <c r="J39" s="97"/>
      <c r="K39" s="97"/>
      <c r="L39" s="97" t="s">
        <v>163</v>
      </c>
      <c r="M39" s="61"/>
    </row>
    <row r="40" spans="1:13" ht="65">
      <c r="A40" s="129" t="s">
        <v>166</v>
      </c>
      <c r="B40" s="130" t="s">
        <v>167</v>
      </c>
      <c r="C40" s="130" t="s">
        <v>168</v>
      </c>
      <c r="D40" s="130" t="str">
        <f>"Actual GM FY " &amp; TEXT(EOMONTH(prem_year_start, -12), "yy")</f>
        <v>Actual GM FY 25</v>
      </c>
      <c r="E40" s="130" t="str">
        <f>"Forecast GM year starting 1 April " &amp; prem_round</f>
        <v>Forecast GM year starting 1 April 2026</v>
      </c>
      <c r="F40" s="130" t="str">
        <f>"Forecast GM year starting 1 April " &amp; prem_round+1</f>
        <v>Forecast GM year starting 1 April 2027</v>
      </c>
      <c r="G40" s="130" t="str">
        <f>"Policy holders 30 June " &amp; TEXT(EOMONTH(prem_year_start, -2*12), "yy")</f>
        <v>Policy holders 30 June 24</v>
      </c>
      <c r="H40" s="130" t="str">
        <f>"Policy holders 30 June " &amp; TEXT(EOMONTH(prem_year_start, -1*12), "yy")</f>
        <v>Policy holders 30 June 25</v>
      </c>
      <c r="I40" s="602"/>
      <c r="J40" s="602"/>
      <c r="K40" s="97"/>
      <c r="L40" s="97" t="s">
        <v>163</v>
      </c>
      <c r="M40" s="61"/>
    </row>
    <row r="41" spans="1:13" ht="12.75" customHeight="1">
      <c r="A41" s="121"/>
      <c r="B41" s="122" t="s">
        <v>163</v>
      </c>
      <c r="C41" s="122" t="s">
        <v>163</v>
      </c>
      <c r="D41" s="122" t="s">
        <v>163</v>
      </c>
      <c r="E41" s="122" t="s">
        <v>163</v>
      </c>
      <c r="F41" s="122" t="s">
        <v>163</v>
      </c>
      <c r="G41" s="141" t="s">
        <v>163</v>
      </c>
      <c r="H41" s="141" t="s">
        <v>163</v>
      </c>
      <c r="I41" s="602"/>
      <c r="J41" s="602"/>
      <c r="K41" s="97"/>
      <c r="L41" s="97" t="s">
        <v>163</v>
      </c>
      <c r="M41" s="61"/>
    </row>
    <row r="42" spans="1:13" ht="13">
      <c r="A42" s="121"/>
      <c r="B42" s="122" t="s">
        <v>163</v>
      </c>
      <c r="C42" s="122" t="s">
        <v>163</v>
      </c>
      <c r="D42" s="122" t="s">
        <v>163</v>
      </c>
      <c r="E42" s="122" t="s">
        <v>163</v>
      </c>
      <c r="F42" s="122" t="s">
        <v>163</v>
      </c>
      <c r="G42" s="141" t="s">
        <v>163</v>
      </c>
      <c r="H42" s="141" t="s">
        <v>163</v>
      </c>
      <c r="I42" s="603"/>
      <c r="J42" s="603"/>
      <c r="K42" s="603"/>
      <c r="L42" s="97" t="s">
        <v>163</v>
      </c>
      <c r="M42" s="61"/>
    </row>
    <row r="43" spans="1:13" ht="13">
      <c r="A43" s="121"/>
      <c r="B43" s="122" t="s">
        <v>163</v>
      </c>
      <c r="C43" s="122" t="s">
        <v>163</v>
      </c>
      <c r="D43" s="122" t="s">
        <v>163</v>
      </c>
      <c r="E43" s="122" t="s">
        <v>163</v>
      </c>
      <c r="F43" s="122" t="s">
        <v>163</v>
      </c>
      <c r="G43" s="141" t="s">
        <v>163</v>
      </c>
      <c r="H43" s="141" t="s">
        <v>163</v>
      </c>
      <c r="I43" s="97"/>
      <c r="J43" s="97"/>
      <c r="K43" s="97"/>
      <c r="L43" s="97" t="s">
        <v>163</v>
      </c>
      <c r="M43" s="61"/>
    </row>
    <row r="44" spans="1:13" ht="13">
      <c r="A44" s="121"/>
      <c r="B44" s="122" t="s">
        <v>163</v>
      </c>
      <c r="C44" s="122" t="s">
        <v>163</v>
      </c>
      <c r="D44" s="122" t="s">
        <v>163</v>
      </c>
      <c r="E44" s="122" t="s">
        <v>163</v>
      </c>
      <c r="F44" s="122" t="s">
        <v>163</v>
      </c>
      <c r="G44" s="141" t="s">
        <v>163</v>
      </c>
      <c r="H44" s="141" t="s">
        <v>163</v>
      </c>
      <c r="I44" s="97"/>
      <c r="J44" s="97"/>
      <c r="K44" s="97"/>
      <c r="L44" s="97" t="s">
        <v>163</v>
      </c>
      <c r="M44" s="61"/>
    </row>
    <row r="45" spans="1:13" ht="13">
      <c r="A45" s="121"/>
      <c r="B45" s="122" t="s">
        <v>163</v>
      </c>
      <c r="C45" s="122" t="s">
        <v>163</v>
      </c>
      <c r="D45" s="122" t="s">
        <v>163</v>
      </c>
      <c r="E45" s="122" t="s">
        <v>163</v>
      </c>
      <c r="F45" s="122" t="s">
        <v>163</v>
      </c>
      <c r="G45" s="141" t="s">
        <v>163</v>
      </c>
      <c r="H45" s="141" t="s">
        <v>163</v>
      </c>
      <c r="I45" s="97"/>
      <c r="J45" s="97"/>
      <c r="K45" s="97"/>
      <c r="L45" s="97" t="s">
        <v>163</v>
      </c>
      <c r="M45" s="61"/>
    </row>
    <row r="46" spans="1:13" ht="13">
      <c r="A46" s="121"/>
      <c r="B46" s="122" t="s">
        <v>163</v>
      </c>
      <c r="C46" s="122" t="s">
        <v>163</v>
      </c>
      <c r="D46" s="122" t="s">
        <v>163</v>
      </c>
      <c r="E46" s="122" t="s">
        <v>163</v>
      </c>
      <c r="F46" s="122" t="s">
        <v>163</v>
      </c>
      <c r="G46" s="141" t="s">
        <v>163</v>
      </c>
      <c r="H46" s="141" t="s">
        <v>163</v>
      </c>
      <c r="I46" s="97"/>
      <c r="J46" s="97"/>
      <c r="K46" s="97"/>
      <c r="L46" s="97" t="s">
        <v>163</v>
      </c>
      <c r="M46" s="61"/>
    </row>
    <row r="47" spans="1:13" ht="13">
      <c r="A47" s="121"/>
      <c r="B47" s="122" t="s">
        <v>163</v>
      </c>
      <c r="C47" s="122" t="s">
        <v>163</v>
      </c>
      <c r="D47" s="122" t="s">
        <v>163</v>
      </c>
      <c r="E47" s="122" t="s">
        <v>163</v>
      </c>
      <c r="F47" s="122" t="s">
        <v>163</v>
      </c>
      <c r="G47" s="141" t="s">
        <v>163</v>
      </c>
      <c r="H47" s="141" t="s">
        <v>163</v>
      </c>
      <c r="I47" s="97"/>
      <c r="J47" s="97"/>
      <c r="K47" s="97"/>
      <c r="L47" s="97" t="s">
        <v>163</v>
      </c>
      <c r="M47" s="61"/>
    </row>
    <row r="48" spans="1:13" ht="13">
      <c r="A48" s="121"/>
      <c r="B48" s="122" t="s">
        <v>163</v>
      </c>
      <c r="C48" s="122" t="s">
        <v>163</v>
      </c>
      <c r="D48" s="122" t="s">
        <v>163</v>
      </c>
      <c r="E48" s="122" t="s">
        <v>163</v>
      </c>
      <c r="F48" s="122" t="s">
        <v>163</v>
      </c>
      <c r="G48" s="141" t="s">
        <v>163</v>
      </c>
      <c r="H48" s="141" t="s">
        <v>163</v>
      </c>
      <c r="I48" s="97"/>
      <c r="J48" s="97"/>
      <c r="K48" s="97"/>
      <c r="L48" s="97" t="s">
        <v>163</v>
      </c>
      <c r="M48" s="61"/>
    </row>
    <row r="49" spans="1:13" ht="13">
      <c r="A49" s="121"/>
      <c r="B49" s="122" t="s">
        <v>163</v>
      </c>
      <c r="C49" s="122" t="s">
        <v>163</v>
      </c>
      <c r="D49" s="122" t="s">
        <v>163</v>
      </c>
      <c r="E49" s="122" t="s">
        <v>163</v>
      </c>
      <c r="F49" s="122" t="s">
        <v>163</v>
      </c>
      <c r="G49" s="141" t="s">
        <v>163</v>
      </c>
      <c r="H49" s="141" t="s">
        <v>163</v>
      </c>
      <c r="I49" s="97"/>
      <c r="J49" s="97"/>
      <c r="K49" s="97"/>
      <c r="L49" s="97" t="s">
        <v>163</v>
      </c>
      <c r="M49" s="61"/>
    </row>
    <row r="50" spans="1:13" ht="13">
      <c r="A50" s="121"/>
      <c r="B50" s="122" t="s">
        <v>163</v>
      </c>
      <c r="C50" s="122" t="s">
        <v>163</v>
      </c>
      <c r="D50" s="122" t="s">
        <v>163</v>
      </c>
      <c r="E50" s="122" t="s">
        <v>163</v>
      </c>
      <c r="F50" s="122" t="s">
        <v>163</v>
      </c>
      <c r="G50" s="141" t="s">
        <v>163</v>
      </c>
      <c r="H50" s="141" t="s">
        <v>163</v>
      </c>
      <c r="I50" s="97"/>
      <c r="J50" s="97"/>
      <c r="K50" s="97"/>
      <c r="L50" s="97" t="s">
        <v>163</v>
      </c>
      <c r="M50" s="61"/>
    </row>
    <row r="51" spans="1:13">
      <c r="A51" s="97" t="s">
        <v>163</v>
      </c>
      <c r="B51" s="97" t="s">
        <v>163</v>
      </c>
      <c r="C51" s="97" t="s">
        <v>163</v>
      </c>
      <c r="D51" s="97" t="s">
        <v>163</v>
      </c>
      <c r="E51" s="97" t="s">
        <v>163</v>
      </c>
      <c r="F51" s="97" t="s">
        <v>163</v>
      </c>
      <c r="G51" s="97" t="s">
        <v>163</v>
      </c>
      <c r="H51" s="97" t="s">
        <v>163</v>
      </c>
      <c r="I51" s="97" t="s">
        <v>163</v>
      </c>
      <c r="J51" s="97" t="s">
        <v>163</v>
      </c>
      <c r="K51" s="97" t="s">
        <v>163</v>
      </c>
      <c r="M51" s="61"/>
    </row>
    <row r="52" spans="1:13">
      <c r="A52" s="54"/>
      <c r="M52" s="61"/>
    </row>
    <row r="53" spans="1:13" ht="13">
      <c r="A53" s="65"/>
      <c r="B53" s="39"/>
      <c r="C53" s="40"/>
      <c r="M53" s="61"/>
    </row>
    <row r="54" spans="1:13" ht="14">
      <c r="A54" s="64"/>
      <c r="B54" s="39"/>
      <c r="C54" s="40"/>
      <c r="M54" s="61"/>
    </row>
    <row r="55" spans="1:13" ht="13">
      <c r="A55" s="7"/>
      <c r="B55" s="39"/>
      <c r="C55" s="40"/>
    </row>
    <row r="56" spans="1:13" ht="13">
      <c r="A56" s="621"/>
      <c r="B56" s="622"/>
      <c r="C56" s="41"/>
    </row>
    <row r="57" spans="1:13"/>
    <row r="58" spans="1:13"/>
    <row r="59" spans="1:13"/>
    <row r="60" spans="1:13"/>
    <row r="61" spans="1:13"/>
    <row r="62" spans="1:13"/>
    <row r="63" spans="1:13"/>
    <row r="64" spans="1:13"/>
    <row r="65"/>
    <row r="66"/>
    <row r="67"/>
    <row r="68"/>
    <row r="69"/>
    <row r="70"/>
    <row r="71"/>
  </sheetData>
  <mergeCells count="26">
    <mergeCell ref="B2:E2"/>
    <mergeCell ref="A56:B56"/>
    <mergeCell ref="H25:I25"/>
    <mergeCell ref="J25:K25"/>
    <mergeCell ref="H28:I28"/>
    <mergeCell ref="H29:I29"/>
    <mergeCell ref="F32:G32"/>
    <mergeCell ref="A32:E32"/>
    <mergeCell ref="A28:E28"/>
    <mergeCell ref="A29:E29"/>
    <mergeCell ref="A30:E30"/>
    <mergeCell ref="A31:E31"/>
    <mergeCell ref="F28:G28"/>
    <mergeCell ref="F29:G29"/>
    <mergeCell ref="F30:G30"/>
    <mergeCell ref="F31:G31"/>
    <mergeCell ref="I40:J41"/>
    <mergeCell ref="I42:K42"/>
    <mergeCell ref="A36:F36"/>
    <mergeCell ref="B37:F37"/>
    <mergeCell ref="B16:D16"/>
    <mergeCell ref="E16:G16"/>
    <mergeCell ref="A25:E25"/>
    <mergeCell ref="F25:G25"/>
    <mergeCell ref="A27:E27"/>
    <mergeCell ref="A24:E24"/>
  </mergeCells>
  <dataValidations disablePrompts="1" count="1">
    <dataValidation allowBlank="1" showInputMessage="1" showErrorMessage="1" promptTitle="Do not enter insurer name" prompt="This cell is automated from Template C" sqref="B2" xr:uid="{CE008C3C-D59A-4C8B-90D8-6901097D7D52}"/>
  </dataValidations>
  <pageMargins left="0.70866141732283472" right="0.70866141732283472" top="0.74803149606299213" bottom="0.74803149606299213" header="0.31496062992125984" footer="0.31496062992125984"/>
  <pageSetup paperSize="8" scale="87" fitToHeight="0" orientation="portrait" r:id="rId1"/>
  <headerFooter>
    <oddHeader>&amp;C&amp;"Calibri"&amp;12&amp;KFF0000 OFFICIAL&amp;1#_x000D_</oddHeader>
    <oddFooter>&amp;C_x000D_&amp;1#&amp;"Calibri"&amp;12&amp;KFF0000 OFFICIAL</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3C38F-2747-422A-8C9F-6344185A9DC4}">
  <dimension ref="A1:AQ76"/>
  <sheetViews>
    <sheetView workbookViewId="0">
      <selection activeCell="B35" sqref="B35"/>
    </sheetView>
  </sheetViews>
  <sheetFormatPr defaultColWidth="9.453125" defaultRowHeight="12.5" zeroHeight="1"/>
  <cols>
    <col min="1" max="1" width="97.81640625" style="166" customWidth="1"/>
    <col min="2" max="2" width="20.54296875" style="166" customWidth="1"/>
    <col min="3" max="3" width="18" style="166" customWidth="1"/>
    <col min="4" max="4" width="20.54296875" style="166" customWidth="1"/>
    <col min="5" max="5" width="18" style="166" customWidth="1"/>
    <col min="6" max="6" width="15.81640625" style="166" customWidth="1"/>
    <col min="7" max="7" width="13.54296875" style="166" customWidth="1"/>
    <col min="8" max="12" width="9.54296875" style="166" customWidth="1"/>
    <col min="13" max="13" width="5.1796875" style="166" customWidth="1"/>
    <col min="14" max="14" width="79" style="166" hidden="1" customWidth="1"/>
    <col min="15" max="16" width="13.1796875" style="166" hidden="1" customWidth="1"/>
    <col min="17" max="19" width="10.7265625" style="166" hidden="1" customWidth="1"/>
    <col min="20" max="22" width="9.26953125" style="166" hidden="1" customWidth="1"/>
    <col min="23" max="24" width="10.7265625" style="166" hidden="1" customWidth="1"/>
    <col min="25" max="30" width="9.26953125" style="166" hidden="1" customWidth="1"/>
    <col min="31" max="33" width="10.7265625" style="166" hidden="1" customWidth="1"/>
    <col min="34" max="37" width="9.54296875" style="166" hidden="1" customWidth="1"/>
    <col min="38" max="38" width="62.81640625" style="166" hidden="1" customWidth="1"/>
    <col min="39" max="39" width="9.54296875" style="166" hidden="1" customWidth="1"/>
    <col min="40" max="40" width="18.453125" style="166" hidden="1" customWidth="1"/>
    <col min="41" max="42" width="15.7265625" style="166" hidden="1" customWidth="1"/>
    <col min="43" max="43" width="17.1796875" style="166" hidden="1" customWidth="1"/>
    <col min="44" max="16384" width="9.453125" style="166"/>
  </cols>
  <sheetData>
    <row r="1" spans="1:43" ht="20.149999999999999" customHeight="1">
      <c r="A1" s="156" t="str">
        <f>"TEMPLATE E - Attribution - " &amp; prem_round &amp; " Premium Round - Protected information under PHI Act 2007 when completed"</f>
        <v>TEMPLATE E - Attribution - 2026 Premium Round - Protected information under PHI Act 2007 when completed</v>
      </c>
      <c r="B1" s="150"/>
      <c r="C1" s="150"/>
      <c r="D1" s="150"/>
      <c r="E1" s="150"/>
      <c r="F1" s="150"/>
      <c r="G1" s="150"/>
      <c r="H1" s="150"/>
      <c r="I1" s="150"/>
      <c r="J1" s="150"/>
      <c r="K1" s="150"/>
      <c r="L1" s="150"/>
      <c r="M1" s="150"/>
      <c r="N1" s="150"/>
      <c r="O1" s="150"/>
      <c r="P1" s="150"/>
      <c r="Q1" s="150"/>
      <c r="R1" s="150"/>
      <c r="S1" s="150"/>
      <c r="T1" s="150"/>
      <c r="U1" s="150"/>
      <c r="V1" s="150"/>
      <c r="W1" s="150"/>
      <c r="X1" s="150"/>
      <c r="Y1" s="150"/>
      <c r="Z1" s="150"/>
      <c r="AA1" s="155"/>
      <c r="AB1" s="155"/>
      <c r="AC1" s="155"/>
      <c r="AD1" s="155"/>
      <c r="AE1" s="155"/>
      <c r="AF1" s="155"/>
      <c r="AG1" s="155"/>
      <c r="AH1" s="155"/>
      <c r="AI1" s="155"/>
      <c r="AJ1" s="155"/>
      <c r="AK1" s="155"/>
      <c r="AL1" s="155"/>
      <c r="AM1" s="155"/>
      <c r="AN1" s="155"/>
      <c r="AO1" s="155"/>
      <c r="AP1" s="155"/>
      <c r="AQ1" s="155"/>
    </row>
    <row r="2" spans="1:43" ht="13">
      <c r="A2" s="206" t="s">
        <v>1</v>
      </c>
      <c r="B2" s="588" t="str">
        <f>IF('Template C - Snapshot'!$B$3="","",'Template C - Snapshot'!$B$3)</f>
        <v/>
      </c>
      <c r="C2" s="589"/>
      <c r="D2" s="589"/>
      <c r="E2" s="589"/>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row>
    <row r="3" spans="1:43" ht="13">
      <c r="A3" s="504"/>
      <c r="B3" s="504"/>
      <c r="C3" s="505"/>
      <c r="D3" s="505"/>
      <c r="E3" s="505"/>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row>
    <row r="4" spans="1:43" ht="15.5">
      <c r="A4" s="163" t="str">
        <f>"'Actuals' vs expected for year commencing Apr " &amp; RIGHT(prem_round-1, 4) &amp; " and Forecast assumptions"</f>
        <v>'Actuals' vs expected for year commencing Apr 2025 and Forecast assumptions</v>
      </c>
      <c r="B4" s="392" t="s">
        <v>398</v>
      </c>
      <c r="C4" s="392"/>
      <c r="D4" s="392"/>
      <c r="E4" s="392"/>
      <c r="F4" s="393" t="s">
        <v>21</v>
      </c>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row>
    <row r="5" spans="1:43" ht="28.5" customHeight="1">
      <c r="A5" s="172"/>
      <c r="B5" s="640" t="str">
        <f>"Year commencing " &amp; CHAR(10) &amp; "Apr " &amp; RIGHT(prem_round-2, 2)</f>
        <v>Year commencing 
Apr 24</v>
      </c>
      <c r="C5" s="641"/>
      <c r="D5" s="640" t="str">
        <f>"Year commencing " &amp; CHAR(10) &amp; "Apr " &amp; RIGHT(prem_round-1, 2)</f>
        <v>Year commencing 
Apr 25</v>
      </c>
      <c r="E5" s="641"/>
      <c r="F5" s="149" t="str">
        <f>"Year commencing Apr " &amp; RIGHT(prem_round, 2)</f>
        <v>Year commencing Apr 26</v>
      </c>
      <c r="G5" s="153"/>
      <c r="H5" s="153"/>
      <c r="I5" s="153"/>
      <c r="J5" s="153"/>
      <c r="K5" s="153"/>
      <c r="L5" s="153"/>
      <c r="M5" s="153"/>
      <c r="N5" s="153"/>
      <c r="O5" s="153"/>
      <c r="P5" s="153"/>
      <c r="Q5" s="153"/>
      <c r="R5" s="153"/>
      <c r="S5" s="153"/>
      <c r="T5" s="153"/>
      <c r="U5" s="153"/>
      <c r="V5" s="153"/>
      <c r="W5" s="153"/>
      <c r="X5" s="153"/>
      <c r="Y5" s="153"/>
      <c r="Z5" s="153"/>
      <c r="AA5" s="153"/>
      <c r="AB5" s="153"/>
      <c r="AC5" s="153"/>
      <c r="AD5" s="153"/>
      <c r="AE5" s="153"/>
      <c r="AF5" s="153"/>
      <c r="AG5" s="153"/>
      <c r="AH5" s="153"/>
      <c r="AI5" s="153"/>
      <c r="AJ5" s="153"/>
      <c r="AK5" s="153"/>
      <c r="AL5" s="153"/>
      <c r="AM5" s="153"/>
      <c r="AN5" s="153"/>
      <c r="AO5" s="153"/>
      <c r="AP5" s="153"/>
      <c r="AQ5" s="153"/>
    </row>
    <row r="6" spans="1:43" ht="28">
      <c r="A6" s="172" t="s">
        <v>169</v>
      </c>
      <c r="B6" s="394" t="s">
        <v>170</v>
      </c>
      <c r="C6" s="507" t="s">
        <v>397</v>
      </c>
      <c r="D6" s="394" t="s">
        <v>419</v>
      </c>
      <c r="E6" s="507" t="s">
        <v>420</v>
      </c>
      <c r="F6" s="394" t="s">
        <v>421</v>
      </c>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row>
    <row r="7" spans="1:43" ht="13">
      <c r="A7" s="50" t="s">
        <v>171</v>
      </c>
      <c r="B7" s="506"/>
      <c r="C7" s="506"/>
      <c r="D7" s="405"/>
      <c r="E7" s="405"/>
      <c r="F7" s="405"/>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row>
    <row r="8" spans="1:43" ht="13">
      <c r="A8" s="154" t="s">
        <v>172</v>
      </c>
      <c r="B8" s="402"/>
      <c r="C8" s="402"/>
      <c r="D8" s="402"/>
      <c r="E8" s="402"/>
      <c r="F8" s="402"/>
      <c r="G8" s="153"/>
      <c r="H8" s="153"/>
      <c r="I8" s="153"/>
      <c r="J8" s="153"/>
      <c r="K8" s="153"/>
      <c r="L8" s="153"/>
      <c r="M8" s="153"/>
      <c r="N8" s="153"/>
      <c r="O8" s="153"/>
      <c r="P8" s="153"/>
      <c r="Q8" s="153"/>
      <c r="R8" s="153"/>
      <c r="S8" s="153"/>
      <c r="T8" s="153"/>
      <c r="U8" s="153"/>
      <c r="V8" s="153"/>
      <c r="W8" s="153"/>
      <c r="X8" s="153"/>
      <c r="Y8" s="153"/>
      <c r="Z8" s="153"/>
      <c r="AA8" s="153"/>
      <c r="AB8" s="153"/>
      <c r="AC8" s="153"/>
      <c r="AD8" s="153"/>
      <c r="AE8" s="153"/>
      <c r="AF8" s="153"/>
      <c r="AG8" s="153"/>
      <c r="AH8" s="153"/>
      <c r="AI8" s="153"/>
      <c r="AJ8" s="153"/>
      <c r="AK8" s="153"/>
      <c r="AL8" s="153"/>
      <c r="AM8" s="153"/>
      <c r="AN8" s="153"/>
      <c r="AO8" s="153"/>
      <c r="AP8" s="153"/>
      <c r="AQ8" s="153"/>
    </row>
    <row r="9" spans="1:43" ht="13">
      <c r="A9" s="391" t="s">
        <v>174</v>
      </c>
      <c r="B9" s="396"/>
      <c r="C9" s="396"/>
      <c r="D9" s="396"/>
      <c r="E9" s="396"/>
      <c r="F9" s="396"/>
      <c r="G9" s="153"/>
      <c r="H9" s="153"/>
      <c r="I9" s="153"/>
      <c r="J9" s="153"/>
      <c r="K9" s="153"/>
      <c r="L9" s="153"/>
      <c r="M9" s="153"/>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3"/>
      <c r="AN9" s="153"/>
      <c r="AO9" s="153"/>
      <c r="AP9" s="153"/>
      <c r="AQ9" s="153"/>
    </row>
    <row r="10" spans="1:43" ht="13">
      <c r="A10" s="391" t="s">
        <v>175</v>
      </c>
      <c r="B10" s="396"/>
      <c r="C10" s="396"/>
      <c r="D10" s="396"/>
      <c r="E10" s="396"/>
      <c r="F10" s="396"/>
      <c r="G10" s="153"/>
      <c r="H10" s="153"/>
      <c r="I10" s="153"/>
      <c r="J10" s="153"/>
      <c r="K10" s="153"/>
      <c r="L10" s="153"/>
      <c r="M10" s="153"/>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3"/>
      <c r="AN10" s="153"/>
      <c r="AO10" s="153"/>
      <c r="AP10" s="153"/>
      <c r="AQ10" s="153"/>
    </row>
    <row r="11" spans="1:43" ht="13">
      <c r="A11" s="391" t="s">
        <v>176</v>
      </c>
      <c r="B11" s="396"/>
      <c r="C11" s="396"/>
      <c r="D11" s="396"/>
      <c r="E11" s="396"/>
      <c r="F11" s="396"/>
      <c r="G11" s="153"/>
      <c r="H11" s="153"/>
      <c r="I11" s="153"/>
      <c r="J11" s="153"/>
      <c r="K11" s="153"/>
      <c r="L11" s="153"/>
      <c r="M11" s="153"/>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3"/>
      <c r="AN11" s="153"/>
      <c r="AO11" s="153"/>
      <c r="AP11" s="153"/>
      <c r="AQ11" s="153"/>
    </row>
    <row r="12" spans="1:43" ht="13">
      <c r="A12" s="391" t="s">
        <v>409</v>
      </c>
      <c r="B12" s="396"/>
      <c r="C12" s="396"/>
      <c r="D12" s="396"/>
      <c r="E12" s="396"/>
      <c r="F12" s="396"/>
      <c r="G12" s="153"/>
      <c r="H12" s="153"/>
      <c r="I12" s="153"/>
      <c r="J12" s="153"/>
      <c r="K12" s="153"/>
      <c r="L12" s="153"/>
      <c r="M12" s="153"/>
      <c r="N12" s="150"/>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150"/>
      <c r="AL12" s="150"/>
      <c r="AM12" s="153"/>
      <c r="AN12" s="153"/>
      <c r="AO12" s="153"/>
      <c r="AP12" s="153"/>
      <c r="AQ12" s="153"/>
    </row>
    <row r="13" spans="1:43" ht="13">
      <c r="A13" s="154" t="s">
        <v>177</v>
      </c>
      <c r="B13" s="402"/>
      <c r="C13" s="402"/>
      <c r="D13" s="402"/>
      <c r="E13" s="402"/>
      <c r="F13" s="402"/>
      <c r="G13" s="153"/>
      <c r="H13" s="153"/>
      <c r="I13" s="153"/>
      <c r="J13" s="153"/>
      <c r="K13" s="153"/>
      <c r="L13" s="153"/>
      <c r="M13" s="153"/>
      <c r="N13" s="150"/>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150"/>
      <c r="AL13" s="150"/>
      <c r="AM13" s="153"/>
      <c r="AN13" s="153"/>
      <c r="AO13" s="153"/>
      <c r="AP13" s="153"/>
      <c r="AQ13" s="153"/>
    </row>
    <row r="14" spans="1:43" ht="13">
      <c r="A14" s="50" t="s">
        <v>178</v>
      </c>
      <c r="B14" s="405"/>
      <c r="C14" s="405"/>
      <c r="D14" s="402"/>
      <c r="E14" s="403" t="e">
        <f>SUM('Template B - Financials'!$N$24:$Y$24)/SUM('Template B - Financials'!$N$12:$Y$12)</f>
        <v>#DIV/0!</v>
      </c>
      <c r="F14" s="403" t="e">
        <f>SUM('Template B - Financials'!$Z$24:$AK$24)/SUM('Template B - Financials'!$Z$12:$AK$12)</f>
        <v>#DIV/0!</v>
      </c>
      <c r="G14" s="153"/>
      <c r="H14" s="153"/>
      <c r="I14" s="153"/>
      <c r="J14" s="153"/>
      <c r="K14" s="153"/>
      <c r="L14" s="153"/>
      <c r="M14" s="153"/>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3"/>
      <c r="AN14" s="153"/>
      <c r="AO14" s="153"/>
      <c r="AP14" s="153"/>
      <c r="AQ14" s="153"/>
    </row>
    <row r="15" spans="1:43" ht="15">
      <c r="A15" s="331" t="s">
        <v>411</v>
      </c>
      <c r="B15" s="404"/>
      <c r="C15" s="404"/>
      <c r="D15" s="404"/>
      <c r="E15" s="404"/>
      <c r="F15" s="404"/>
      <c r="G15" s="153"/>
      <c r="H15" s="153"/>
      <c r="I15" s="153"/>
      <c r="J15" s="153"/>
      <c r="K15" s="153"/>
      <c r="L15" s="153"/>
      <c r="M15" s="153"/>
      <c r="N15" s="150"/>
      <c r="O15" s="150"/>
      <c r="P15" s="150"/>
      <c r="Q15" s="509"/>
      <c r="R15" s="509"/>
      <c r="S15" s="509"/>
      <c r="T15" s="150"/>
      <c r="U15" s="150"/>
      <c r="V15" s="150"/>
      <c r="W15" s="150"/>
      <c r="X15" s="150"/>
      <c r="Y15" s="150"/>
      <c r="Z15" s="150"/>
      <c r="AA15" s="150"/>
      <c r="AB15" s="150"/>
      <c r="AC15" s="150"/>
      <c r="AD15" s="150"/>
      <c r="AE15" s="150"/>
      <c r="AF15" s="150"/>
      <c r="AG15" s="150"/>
      <c r="AH15" s="150"/>
      <c r="AI15" s="150"/>
      <c r="AJ15" s="150"/>
      <c r="AK15" s="150"/>
      <c r="AL15" s="150"/>
      <c r="AM15" s="153"/>
      <c r="AN15" s="176" t="s">
        <v>179</v>
      </c>
      <c r="AO15" s="153"/>
      <c r="AP15" s="153"/>
      <c r="AQ15" s="153"/>
    </row>
    <row r="16" spans="1:43" s="171" customFormat="1" ht="14">
      <c r="A16" s="224" t="s">
        <v>180</v>
      </c>
      <c r="B16" s="559">
        <f>IF(SUM(B9:B12)=0,0,IF(ROUND(B8-SUM(B9:B12),5)=0,0,"Check hospital DR growth components add to total"))</f>
        <v>0</v>
      </c>
      <c r="C16" s="559">
        <f t="shared" ref="C16:F16" si="0">IF(SUM(C9:C12)=0,0,IF(ROUND(C8-SUM(C9:C12),5)=0,0,"Check hospital DR growth components add to total"))</f>
        <v>0</v>
      </c>
      <c r="D16" s="559">
        <f t="shared" si="0"/>
        <v>0</v>
      </c>
      <c r="E16" s="559">
        <f t="shared" si="0"/>
        <v>0</v>
      </c>
      <c r="F16" s="559">
        <f t="shared" si="0"/>
        <v>0</v>
      </c>
      <c r="G16" s="395" t="s">
        <v>173</v>
      </c>
      <c r="H16" s="153"/>
      <c r="I16" s="153"/>
      <c r="J16" s="153"/>
      <c r="K16" s="153"/>
      <c r="L16" s="153"/>
      <c r="M16" s="17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0"/>
      <c r="AL16" s="150"/>
      <c r="AM16" s="560" t="s">
        <v>181</v>
      </c>
      <c r="AN16" s="360" t="e">
        <f>1-SUM('Template B - Financials'!N16:Y16)/SUM('Template B - Financials'!N19:Y19)</f>
        <v>#DIV/0!</v>
      </c>
      <c r="AO16" s="153"/>
      <c r="AP16" s="170"/>
      <c r="AQ16" s="170"/>
    </row>
    <row r="17" spans="1:43" ht="14">
      <c r="A17" s="222" t="s">
        <v>428</v>
      </c>
      <c r="B17" s="150"/>
      <c r="C17" s="150"/>
      <c r="D17" s="150"/>
      <c r="E17" s="150"/>
      <c r="F17" s="150"/>
      <c r="G17" s="150"/>
      <c r="H17" s="150"/>
      <c r="I17" s="150"/>
      <c r="J17" s="170"/>
      <c r="K17" s="170"/>
      <c r="L17" s="170"/>
      <c r="M17" s="150"/>
      <c r="N17" s="150"/>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150"/>
      <c r="AL17" s="150"/>
      <c r="AM17" s="560" t="s">
        <v>182</v>
      </c>
      <c r="AN17" s="360" t="e">
        <f>SUM('Template B - Financials'!N10:Y10)/SUM('Template B - Financials'!N12:Y12)</f>
        <v>#DIV/0!</v>
      </c>
      <c r="AO17" s="153"/>
      <c r="AP17" s="150"/>
      <c r="AQ17" s="150"/>
    </row>
    <row r="18" spans="1:43" ht="13">
      <c r="A18" s="222" t="s">
        <v>424</v>
      </c>
      <c r="B18" s="150"/>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560" t="s">
        <v>183</v>
      </c>
      <c r="AN18" s="360">
        <f>IFERROR(1-AP25/AQ25,0)</f>
        <v>0</v>
      </c>
      <c r="AO18" s="153"/>
      <c r="AP18" s="150"/>
      <c r="AQ18" s="150"/>
    </row>
    <row r="19" spans="1:43">
      <c r="A19" s="222" t="s">
        <v>423</v>
      </c>
      <c r="B19" s="150"/>
      <c r="C19" s="150"/>
      <c r="D19" s="150"/>
      <c r="E19" s="150"/>
      <c r="F19" s="150"/>
      <c r="G19" s="150"/>
      <c r="H19" s="150"/>
      <c r="I19" s="150"/>
      <c r="J19" s="150"/>
      <c r="K19" s="150"/>
      <c r="L19" s="150"/>
      <c r="M19" s="150"/>
      <c r="N19" s="150" t="s">
        <v>184</v>
      </c>
      <c r="O19" s="150"/>
      <c r="P19" s="150"/>
      <c r="Q19" s="150"/>
      <c r="R19" s="150"/>
      <c r="S19" s="150"/>
      <c r="T19" s="150"/>
      <c r="U19" s="150"/>
      <c r="V19" s="150"/>
      <c r="W19" s="150"/>
      <c r="X19" s="150"/>
      <c r="Y19" s="445"/>
      <c r="Z19" s="445"/>
      <c r="AA19" s="150"/>
      <c r="AB19" s="445"/>
      <c r="AC19" s="445"/>
      <c r="AD19" s="150"/>
      <c r="AE19" s="444"/>
      <c r="AF19" s="444"/>
      <c r="AG19" s="150"/>
      <c r="AH19" s="150"/>
      <c r="AI19" s="150"/>
      <c r="AJ19" s="150"/>
      <c r="AK19" s="150"/>
      <c r="AL19" s="150"/>
      <c r="AM19" s="150"/>
      <c r="AN19" s="150"/>
      <c r="AO19" s="150"/>
      <c r="AP19" s="150"/>
      <c r="AQ19" s="150"/>
    </row>
    <row r="20" spans="1:43" ht="13">
      <c r="A20" s="222" t="s">
        <v>425</v>
      </c>
      <c r="B20" s="251"/>
      <c r="C20" s="251"/>
      <c r="D20" s="251"/>
      <c r="E20" s="251"/>
      <c r="F20" s="150"/>
      <c r="G20" s="150"/>
      <c r="H20" s="150"/>
      <c r="I20" s="150"/>
      <c r="J20" s="150"/>
      <c r="K20" s="150"/>
      <c r="L20" s="150"/>
      <c r="M20" s="150"/>
      <c r="N20" s="150"/>
      <c r="O20" s="150"/>
      <c r="P20" s="150"/>
      <c r="Q20" s="397" t="s">
        <v>185</v>
      </c>
      <c r="R20" s="398"/>
      <c r="S20" s="399"/>
      <c r="T20" s="398"/>
      <c r="U20" s="398"/>
      <c r="V20" s="398"/>
      <c r="W20" s="398"/>
      <c r="X20" s="398"/>
      <c r="Y20" s="397" t="s">
        <v>186</v>
      </c>
      <c r="Z20" s="398"/>
      <c r="AA20" s="399"/>
      <c r="AB20" s="399"/>
      <c r="AC20" s="399"/>
      <c r="AD20" s="399"/>
      <c r="AE20" s="399"/>
      <c r="AF20" s="399"/>
      <c r="AG20" s="399"/>
      <c r="AH20" s="399"/>
      <c r="AI20" s="399"/>
      <c r="AJ20" s="399"/>
      <c r="AK20" s="399"/>
      <c r="AL20" s="150"/>
      <c r="AM20" s="150"/>
      <c r="AN20" s="150"/>
      <c r="AO20" s="150"/>
      <c r="AP20" s="150"/>
      <c r="AQ20" s="150"/>
    </row>
    <row r="21" spans="1:43" s="167" customFormat="1" ht="15.5">
      <c r="A21" s="222" t="s">
        <v>426</v>
      </c>
      <c r="B21" s="251"/>
      <c r="C21" s="251"/>
      <c r="D21" s="251"/>
      <c r="E21" s="251"/>
      <c r="F21" s="150"/>
      <c r="G21" s="150"/>
      <c r="H21" s="150"/>
      <c r="I21" s="150"/>
      <c r="J21" s="150"/>
      <c r="K21" s="150"/>
      <c r="L21" s="150"/>
      <c r="M21" s="164"/>
      <c r="N21" s="164"/>
      <c r="O21" s="642" t="s">
        <v>187</v>
      </c>
      <c r="P21" s="643"/>
      <c r="Q21" s="397" t="s">
        <v>188</v>
      </c>
      <c r="R21" s="398"/>
      <c r="S21" s="399"/>
      <c r="T21" s="443" t="s">
        <v>189</v>
      </c>
      <c r="U21" s="443"/>
      <c r="V21" s="443"/>
      <c r="W21" s="443" t="s">
        <v>190</v>
      </c>
      <c r="X21" s="443" t="s">
        <v>191</v>
      </c>
      <c r="Y21" s="397" t="s">
        <v>188</v>
      </c>
      <c r="Z21" s="398"/>
      <c r="AA21" s="399"/>
      <c r="AB21" s="397" t="s">
        <v>192</v>
      </c>
      <c r="AC21" s="398"/>
      <c r="AD21" s="399"/>
      <c r="AE21" s="397" t="s">
        <v>193</v>
      </c>
      <c r="AF21" s="398"/>
      <c r="AG21" s="398"/>
      <c r="AH21" s="397" t="s">
        <v>194</v>
      </c>
      <c r="AI21" s="397"/>
      <c r="AJ21" s="443" t="s">
        <v>191</v>
      </c>
      <c r="AK21" s="443"/>
      <c r="AL21" s="150"/>
      <c r="AM21" s="150"/>
      <c r="AN21" s="348" t="s">
        <v>195</v>
      </c>
      <c r="AO21" s="349" t="s">
        <v>196</v>
      </c>
      <c r="AP21" s="349" t="s">
        <v>197</v>
      </c>
      <c r="AQ21" s="349" t="s">
        <v>196</v>
      </c>
    </row>
    <row r="22" spans="1:43" s="167" customFormat="1" ht="15.5">
      <c r="A22" s="222" t="s">
        <v>427</v>
      </c>
      <c r="B22" s="251"/>
      <c r="C22" s="251"/>
      <c r="D22" s="251"/>
      <c r="E22" s="251"/>
      <c r="F22" s="150"/>
      <c r="G22" s="150"/>
      <c r="H22" s="150"/>
      <c r="I22" s="150"/>
      <c r="J22" s="150"/>
      <c r="K22" s="150"/>
      <c r="L22" s="150"/>
      <c r="M22" s="164"/>
      <c r="N22" s="235" t="s">
        <v>199</v>
      </c>
      <c r="O22" s="385" t="s">
        <v>200</v>
      </c>
      <c r="P22" s="386" t="s">
        <v>201</v>
      </c>
      <c r="Q22" s="306" t="s">
        <v>11</v>
      </c>
      <c r="R22" s="306" t="s">
        <v>17</v>
      </c>
      <c r="S22" s="229" t="s">
        <v>202</v>
      </c>
      <c r="T22" s="306" t="s">
        <v>11</v>
      </c>
      <c r="U22" s="306" t="s">
        <v>17</v>
      </c>
      <c r="V22" s="229" t="s">
        <v>202</v>
      </c>
      <c r="W22" s="229" t="s">
        <v>165</v>
      </c>
      <c r="X22" s="229" t="s">
        <v>165</v>
      </c>
      <c r="Y22" s="306" t="s">
        <v>11</v>
      </c>
      <c r="Z22" s="306" t="s">
        <v>17</v>
      </c>
      <c r="AA22" s="229" t="s">
        <v>202</v>
      </c>
      <c r="AB22" s="306" t="s">
        <v>11</v>
      </c>
      <c r="AC22" s="306" t="s">
        <v>17</v>
      </c>
      <c r="AD22" s="229" t="s">
        <v>202</v>
      </c>
      <c r="AE22" s="306" t="s">
        <v>11</v>
      </c>
      <c r="AF22" s="306" t="s">
        <v>17</v>
      </c>
      <c r="AG22" s="229" t="s">
        <v>202</v>
      </c>
      <c r="AH22" s="229" t="s">
        <v>203</v>
      </c>
      <c r="AI22" s="229" t="s">
        <v>204</v>
      </c>
      <c r="AJ22" s="229" t="s">
        <v>203</v>
      </c>
      <c r="AK22" s="229" t="s">
        <v>165</v>
      </c>
      <c r="AL22" s="229" t="s">
        <v>205</v>
      </c>
      <c r="AM22" s="150"/>
      <c r="AN22" s="172" t="s">
        <v>206</v>
      </c>
      <c r="AO22" s="272"/>
      <c r="AP22" s="272"/>
      <c r="AQ22" s="272"/>
    </row>
    <row r="23" spans="1:43" s="167" customFormat="1" ht="15.5">
      <c r="A23" s="222" t="s">
        <v>404</v>
      </c>
      <c r="B23" s="251"/>
      <c r="C23" s="251"/>
      <c r="D23" s="251"/>
      <c r="E23" s="251"/>
      <c r="F23" s="150"/>
      <c r="G23" s="150"/>
      <c r="H23" s="150"/>
      <c r="I23" s="150"/>
      <c r="J23" s="150"/>
      <c r="K23" s="150"/>
      <c r="L23" s="150"/>
      <c r="M23" s="164"/>
      <c r="N23" s="477" t="s">
        <v>208</v>
      </c>
      <c r="O23" s="377"/>
      <c r="P23" s="478"/>
      <c r="Q23" s="307" t="s">
        <v>209</v>
      </c>
      <c r="R23" s="307" t="s">
        <v>209</v>
      </c>
      <c r="S23" s="230"/>
      <c r="T23" s="307" t="s">
        <v>209</v>
      </c>
      <c r="U23" s="307" t="s">
        <v>209</v>
      </c>
      <c r="V23" s="230"/>
      <c r="W23" s="230"/>
      <c r="X23" s="230"/>
      <c r="Y23" s="307" t="s">
        <v>209</v>
      </c>
      <c r="Z23" s="307" t="s">
        <v>209</v>
      </c>
      <c r="AA23" s="230"/>
      <c r="AB23" s="307" t="s">
        <v>209</v>
      </c>
      <c r="AC23" s="307" t="s">
        <v>209</v>
      </c>
      <c r="AD23" s="230"/>
      <c r="AE23" s="307" t="s">
        <v>209</v>
      </c>
      <c r="AF23" s="307" t="s">
        <v>209</v>
      </c>
      <c r="AG23" s="230"/>
      <c r="AH23" s="230"/>
      <c r="AI23" s="230"/>
      <c r="AJ23" s="230"/>
      <c r="AK23" s="230"/>
      <c r="AL23" s="230"/>
      <c r="AM23" s="150"/>
      <c r="AN23" s="306" t="s">
        <v>0</v>
      </c>
      <c r="AO23" s="310" t="s">
        <v>11</v>
      </c>
      <c r="AP23" s="229" t="s">
        <v>17</v>
      </c>
      <c r="AQ23" s="229" t="s">
        <v>210</v>
      </c>
    </row>
    <row r="24" spans="1:43" s="167" customFormat="1" ht="15.5">
      <c r="A24" s="552"/>
      <c r="B24" s="251"/>
      <c r="C24" s="251"/>
      <c r="D24" s="251"/>
      <c r="E24" s="251"/>
      <c r="F24" s="150"/>
      <c r="G24" s="150"/>
      <c r="H24" s="150"/>
      <c r="I24" s="150"/>
      <c r="J24" s="150"/>
      <c r="K24" s="150"/>
      <c r="L24" s="150"/>
      <c r="M24" s="164"/>
      <c r="N24" s="248" t="s">
        <v>211</v>
      </c>
      <c r="O24" s="380"/>
      <c r="P24" s="381"/>
      <c r="Q24" s="436">
        <f t="shared" ref="Q24:R24" si="1">Y24</f>
        <v>0</v>
      </c>
      <c r="R24" s="436">
        <f t="shared" si="1"/>
        <v>0</v>
      </c>
      <c r="S24" s="364">
        <f>AA24</f>
        <v>0</v>
      </c>
      <c r="T24" s="243">
        <f>IFERROR(1-AB24/Q24,0)</f>
        <v>0</v>
      </c>
      <c r="U24" s="243">
        <f>IFERROR(1-AC24/R24,0)</f>
        <v>0</v>
      </c>
      <c r="V24" s="244" t="e">
        <f>X24+W24</f>
        <v>#DIV/0!</v>
      </c>
      <c r="W24" s="448" t="e">
        <f>AI24</f>
        <v>#DIV/0!</v>
      </c>
      <c r="X24" s="448" t="e">
        <f>AK24</f>
        <v>#DIV/0!</v>
      </c>
      <c r="Y24" s="436">
        <f>IFERROR(AB24/(1-O$59),0)</f>
        <v>0</v>
      </c>
      <c r="Z24" s="436">
        <f>IFERROR(AC24/(1-P$59),0)</f>
        <v>0</v>
      </c>
      <c r="AA24" s="364">
        <f>SUM(Y24:Z24)</f>
        <v>0</v>
      </c>
      <c r="AB24" s="366">
        <f>O$51*O55</f>
        <v>0</v>
      </c>
      <c r="AC24" s="366">
        <f>P$51*P55</f>
        <v>0</v>
      </c>
      <c r="AD24" s="364">
        <f t="shared" ref="AD24" si="2">SUM(AB24:AC24)</f>
        <v>0</v>
      </c>
      <c r="AE24" s="243" t="str">
        <f t="shared" ref="AE24:AG35" si="3">IFERROR((Y24-AB24)/Y24,"")</f>
        <v/>
      </c>
      <c r="AF24" s="243" t="str">
        <f t="shared" si="3"/>
        <v/>
      </c>
      <c r="AG24" s="244" t="str">
        <f t="shared" si="3"/>
        <v/>
      </c>
      <c r="AH24" s="436">
        <f>AA24*$Q$67</f>
        <v>0</v>
      </c>
      <c r="AI24" s="242" t="e">
        <f>AH24/AA24</f>
        <v>#DIV/0!</v>
      </c>
      <c r="AJ24" s="361">
        <f>AA24-AD24-AH24</f>
        <v>0</v>
      </c>
      <c r="AK24" s="242" t="e">
        <f>AJ24/AA24</f>
        <v>#DIV/0!</v>
      </c>
      <c r="AL24" s="419" t="s">
        <v>212</v>
      </c>
      <c r="AM24" s="150"/>
      <c r="AN24" s="309" t="s">
        <v>11</v>
      </c>
      <c r="AO24" s="367">
        <f>IFERROR(SUMIFS('Template A - Products'!$R$1:$R$30000,'Template A - Products'!$F$1:$F$30000,$AN24,'Template A - Products'!$G$1:$G$30000,AO$21)*12,"")</f>
        <v>0</v>
      </c>
      <c r="AP24" s="368"/>
      <c r="AQ24" s="369">
        <f>SUM(AO24:AP24)</f>
        <v>0</v>
      </c>
    </row>
    <row r="25" spans="1:43" s="167" customFormat="1" ht="15.65" customHeight="1">
      <c r="A25" s="165" t="s">
        <v>198</v>
      </c>
      <c r="B25" s="164"/>
      <c r="C25" s="164"/>
      <c r="D25" s="164"/>
      <c r="E25" s="164"/>
      <c r="F25" s="164"/>
      <c r="G25" s="164"/>
      <c r="H25" s="164"/>
      <c r="I25" s="164"/>
      <c r="J25" s="164"/>
      <c r="K25" s="164"/>
      <c r="L25" s="164"/>
      <c r="M25" s="586" t="s">
        <v>430</v>
      </c>
      <c r="N25" s="248" t="s">
        <v>216</v>
      </c>
      <c r="O25" s="378" t="e">
        <f>P25-P24</f>
        <v>#DIV/0!</v>
      </c>
      <c r="P25" s="379" t="e">
        <f>S25/S$24-1</f>
        <v>#DIV/0!</v>
      </c>
      <c r="Q25" s="436" t="e">
        <f>$S25*Q24/$S24</f>
        <v>#DIV/0!</v>
      </c>
      <c r="R25" s="436" t="e">
        <f>$S25*R24/$S24</f>
        <v>#DIV/0!</v>
      </c>
      <c r="S25" s="447" t="e">
        <f>AD25/(1-V25)</f>
        <v>#DIV/0!</v>
      </c>
      <c r="T25" s="241">
        <f t="shared" ref="T25:U35" si="4">IFERROR(1-AB25/Q25,0)</f>
        <v>0</v>
      </c>
      <c r="U25" s="241">
        <f t="shared" si="4"/>
        <v>0</v>
      </c>
      <c r="V25" s="446" t="e">
        <f>X25+W25</f>
        <v>#DIV/0!</v>
      </c>
      <c r="W25" s="446" t="e">
        <f>AI25</f>
        <v>#DIV/0!</v>
      </c>
      <c r="X25" s="242" t="e">
        <f>X24</f>
        <v>#DIV/0!</v>
      </c>
      <c r="Y25" s="365">
        <f>Y24</f>
        <v>0</v>
      </c>
      <c r="Z25" s="365">
        <f>Z24</f>
        <v>0</v>
      </c>
      <c r="AA25" s="362">
        <f t="shared" ref="AA25" si="5">SUM(Y25:Z25)</f>
        <v>0</v>
      </c>
      <c r="AB25" s="365">
        <f>AB24</f>
        <v>0</v>
      </c>
      <c r="AC25" s="365">
        <f>AC24</f>
        <v>0</v>
      </c>
      <c r="AD25" s="362">
        <f t="shared" ref="AD25:AD34" si="6">SUM(AB25:AC25)</f>
        <v>0</v>
      </c>
      <c r="AE25" s="241" t="str">
        <f t="shared" si="3"/>
        <v/>
      </c>
      <c r="AF25" s="241" t="str">
        <f t="shared" si="3"/>
        <v/>
      </c>
      <c r="AG25" s="242" t="str">
        <f t="shared" si="3"/>
        <v/>
      </c>
      <c r="AH25" s="436" t="e">
        <f>AA24*$Q$68</f>
        <v>#DIV/0!</v>
      </c>
      <c r="AI25" s="242" t="e">
        <f>AH25/AA25</f>
        <v>#DIV/0!</v>
      </c>
      <c r="AJ25" s="361" t="e">
        <f t="shared" ref="AJ25:AJ35" si="7">AA25-AD25-AH25</f>
        <v>#DIV/0!</v>
      </c>
      <c r="AK25" s="242" t="e">
        <f t="shared" ref="AK25:AK35" si="8">AJ25/AA25</f>
        <v>#DIV/0!</v>
      </c>
      <c r="AL25" s="419" t="s">
        <v>217</v>
      </c>
      <c r="AM25" s="150"/>
      <c r="AN25" s="309" t="s">
        <v>16</v>
      </c>
      <c r="AO25" s="370">
        <f>IFERROR(SUMIFS('Template A - Products'!$R$1:$R$30000,'Template A - Products'!$F$1:$F$30000,$AN25,'Template A - Products'!$G$1:$G$30000,AO$21)*$AN$18*12,"")</f>
        <v>0</v>
      </c>
      <c r="AP25" s="371" t="e">
        <f>MAX(AQ27*(1-$AN$17)-AP26,0)</f>
        <v>#DIV/0!</v>
      </c>
      <c r="AQ25" s="371">
        <f>IFERROR(SUMIFS('Template A - Products'!$R$1:$R$30000,'Template A - Products'!$F$1:$F$30000,$AN25)*12,"")</f>
        <v>0</v>
      </c>
    </row>
    <row r="26" spans="1:43" s="167" customFormat="1" ht="15.65" customHeight="1">
      <c r="A26" s="252" t="s">
        <v>207</v>
      </c>
      <c r="B26" s="220"/>
      <c r="C26" s="164"/>
      <c r="D26" s="164"/>
      <c r="E26" s="164"/>
      <c r="F26" s="164"/>
      <c r="G26" s="164"/>
      <c r="H26" s="164"/>
      <c r="I26" s="164"/>
      <c r="J26" s="164"/>
      <c r="K26" s="164"/>
      <c r="L26" s="164"/>
      <c r="M26" s="164"/>
      <c r="N26" s="249" t="s">
        <v>218</v>
      </c>
      <c r="O26" s="380" t="e">
        <f>P26-P25</f>
        <v>#DIV/0!</v>
      </c>
      <c r="P26" s="381" t="e">
        <f t="shared" ref="P26:P35" si="9">S26/S$24-1</f>
        <v>#DIV/0!</v>
      </c>
      <c r="Q26" s="363" t="e">
        <f>$S26*Q25/$S25</f>
        <v>#DIV/0!</v>
      </c>
      <c r="R26" s="363" t="e">
        <f>$S26*R25/$S25</f>
        <v>#DIV/0!</v>
      </c>
      <c r="S26" s="364" t="e">
        <f>AD26/(1-V26)</f>
        <v>#DIV/0!</v>
      </c>
      <c r="T26" s="243">
        <f t="shared" si="4"/>
        <v>0</v>
      </c>
      <c r="U26" s="243">
        <f t="shared" si="4"/>
        <v>0</v>
      </c>
      <c r="V26" s="244" t="e">
        <f>X26+W26</f>
        <v>#DIV/0!</v>
      </c>
      <c r="W26" s="452" t="e">
        <f>W25</f>
        <v>#DIV/0!</v>
      </c>
      <c r="X26" s="244" t="e">
        <f>X25</f>
        <v>#DIV/0!</v>
      </c>
      <c r="Y26" s="365">
        <f t="shared" ref="Y26:Z34" si="10">Y25</f>
        <v>0</v>
      </c>
      <c r="Z26" s="365">
        <f t="shared" si="10"/>
        <v>0</v>
      </c>
      <c r="AA26" s="364">
        <f t="shared" ref="AA26:AA34" si="11">SUM(Y26:Z26)</f>
        <v>0</v>
      </c>
      <c r="AB26" s="366">
        <f>O$51*O56</f>
        <v>0</v>
      </c>
      <c r="AC26" s="366">
        <f>P$51*P56</f>
        <v>0</v>
      </c>
      <c r="AD26" s="364">
        <f t="shared" si="6"/>
        <v>0</v>
      </c>
      <c r="AE26" s="243" t="str">
        <f t="shared" si="3"/>
        <v/>
      </c>
      <c r="AF26" s="243" t="str">
        <f t="shared" si="3"/>
        <v/>
      </c>
      <c r="AG26" s="244" t="str">
        <f t="shared" si="3"/>
        <v/>
      </c>
      <c r="AH26" s="365" t="e">
        <f>AH25</f>
        <v>#DIV/0!</v>
      </c>
      <c r="AI26" s="244" t="e">
        <f t="shared" ref="AI26:AI35" si="12">AH26/AA26</f>
        <v>#DIV/0!</v>
      </c>
      <c r="AJ26" s="363" t="e">
        <f t="shared" si="7"/>
        <v>#DIV/0!</v>
      </c>
      <c r="AK26" s="244" t="e">
        <f t="shared" si="8"/>
        <v>#DIV/0!</v>
      </c>
      <c r="AL26" s="419" t="s">
        <v>219</v>
      </c>
      <c r="AM26" s="150"/>
      <c r="AN26" s="309" t="s">
        <v>17</v>
      </c>
      <c r="AO26" s="372"/>
      <c r="AP26" s="373">
        <f>IFERROR(SUMIFS('Template A - Products'!$R$1:$R$30000,'Template A - Products'!$F$1:$F$30000,$AP$21)*12,"")</f>
        <v>0</v>
      </c>
      <c r="AQ26" s="374">
        <f>AP26</f>
        <v>0</v>
      </c>
    </row>
    <row r="27" spans="1:43" s="167" customFormat="1" ht="15.65" customHeight="1">
      <c r="A27" s="231"/>
      <c r="B27" s="246"/>
      <c r="C27" s="234"/>
      <c r="D27" s="239"/>
      <c r="E27" s="239"/>
      <c r="F27" s="239"/>
      <c r="G27" s="239"/>
      <c r="H27" s="239"/>
      <c r="I27" s="239"/>
      <c r="J27" s="239"/>
      <c r="K27" s="239"/>
      <c r="L27" s="416"/>
      <c r="M27" s="164"/>
      <c r="N27" s="249" t="s">
        <v>412</v>
      </c>
      <c r="O27" s="380" t="e">
        <f>P27-P26</f>
        <v>#DIV/0!</v>
      </c>
      <c r="P27" s="381" t="e">
        <f t="shared" si="9"/>
        <v>#DIV/0!</v>
      </c>
      <c r="Q27" s="366" t="e">
        <f>S27-R27</f>
        <v>#DIV/0!</v>
      </c>
      <c r="R27" s="365" t="e">
        <f>R26</f>
        <v>#DIV/0!</v>
      </c>
      <c r="S27" s="364" t="e">
        <f>AD27/(1-V27)</f>
        <v>#DIV/0!</v>
      </c>
      <c r="T27" s="243">
        <f t="shared" si="4"/>
        <v>0</v>
      </c>
      <c r="U27" s="243">
        <f t="shared" si="4"/>
        <v>0</v>
      </c>
      <c r="V27" s="244" t="e">
        <f t="shared" ref="V27:V35" si="13">X27+W27</f>
        <v>#DIV/0!</v>
      </c>
      <c r="W27" s="452" t="e">
        <f t="shared" ref="W27:X34" si="14">W26</f>
        <v>#DIV/0!</v>
      </c>
      <c r="X27" s="244" t="e">
        <f>X26</f>
        <v>#DIV/0!</v>
      </c>
      <c r="Y27" s="365">
        <f t="shared" si="10"/>
        <v>0</v>
      </c>
      <c r="Z27" s="365">
        <f t="shared" si="10"/>
        <v>0</v>
      </c>
      <c r="AA27" s="364">
        <f t="shared" si="11"/>
        <v>0</v>
      </c>
      <c r="AB27" s="366">
        <f>AB26+Y26*($O$64-$O$63)</f>
        <v>0</v>
      </c>
      <c r="AC27" s="365">
        <f>AC26</f>
        <v>0</v>
      </c>
      <c r="AD27" s="364">
        <f t="shared" si="6"/>
        <v>0</v>
      </c>
      <c r="AE27" s="243" t="str">
        <f t="shared" si="3"/>
        <v/>
      </c>
      <c r="AF27" s="243" t="str">
        <f t="shared" si="3"/>
        <v/>
      </c>
      <c r="AG27" s="244" t="str">
        <f t="shared" si="3"/>
        <v/>
      </c>
      <c r="AH27" s="365" t="e">
        <f>AH26</f>
        <v>#DIV/0!</v>
      </c>
      <c r="AI27" s="244" t="e">
        <f t="shared" si="12"/>
        <v>#DIV/0!</v>
      </c>
      <c r="AJ27" s="363" t="e">
        <f t="shared" si="7"/>
        <v>#DIV/0!</v>
      </c>
      <c r="AK27" s="244" t="e">
        <f t="shared" si="8"/>
        <v>#DIV/0!</v>
      </c>
      <c r="AL27" s="419" t="s">
        <v>222</v>
      </c>
      <c r="AM27" s="150"/>
      <c r="AN27" s="328" t="s">
        <v>210</v>
      </c>
      <c r="AO27" s="375">
        <f t="shared" ref="AO27:AP27" si="15">SUM(AO24:AO26)</f>
        <v>0</v>
      </c>
      <c r="AP27" s="376" t="e">
        <f t="shared" si="15"/>
        <v>#DIV/0!</v>
      </c>
      <c r="AQ27" s="376">
        <f>SUM(AQ24:AQ26)</f>
        <v>0</v>
      </c>
    </row>
    <row r="28" spans="1:43" s="167" customFormat="1" ht="15.65" customHeight="1">
      <c r="A28" s="232" t="s">
        <v>213</v>
      </c>
      <c r="B28" s="245" t="s">
        <v>214</v>
      </c>
      <c r="C28" s="247" t="s">
        <v>215</v>
      </c>
      <c r="D28" s="479"/>
      <c r="E28" s="479"/>
      <c r="F28" s="479"/>
      <c r="G28" s="479"/>
      <c r="H28" s="479"/>
      <c r="I28" s="479"/>
      <c r="J28" s="479"/>
      <c r="K28" s="479"/>
      <c r="L28" s="480"/>
      <c r="M28" s="164"/>
      <c r="N28" s="438" t="s">
        <v>174</v>
      </c>
      <c r="O28" s="439" t="e">
        <f>P28-P26</f>
        <v>#DIV/0!</v>
      </c>
      <c r="P28" s="379" t="e">
        <f t="shared" si="9"/>
        <v>#DIV/0!</v>
      </c>
      <c r="Q28" s="361" t="e">
        <f>S28-R28</f>
        <v>#DIV/0!</v>
      </c>
      <c r="R28" s="440" t="e">
        <f>R27</f>
        <v>#DIV/0!</v>
      </c>
      <c r="S28" s="362" t="e">
        <f>AD28/(1-V28)</f>
        <v>#DIV/0!</v>
      </c>
      <c r="T28" s="241">
        <f t="shared" si="4"/>
        <v>0</v>
      </c>
      <c r="U28" s="241">
        <f t="shared" si="4"/>
        <v>0</v>
      </c>
      <c r="V28" s="242" t="e">
        <f t="shared" si="13"/>
        <v>#DIV/0!</v>
      </c>
      <c r="W28" s="453" t="e">
        <f t="shared" si="14"/>
        <v>#DIV/0!</v>
      </c>
      <c r="X28" s="242" t="e">
        <f t="shared" si="14"/>
        <v>#DIV/0!</v>
      </c>
      <c r="Y28" s="440">
        <f t="shared" si="10"/>
        <v>0</v>
      </c>
      <c r="Z28" s="440">
        <f t="shared" si="10"/>
        <v>0</v>
      </c>
      <c r="AA28" s="362">
        <f t="shared" si="11"/>
        <v>0</v>
      </c>
      <c r="AB28" s="436">
        <f>IFERROR(AB$26*(1+$F9),AB$26)</f>
        <v>0</v>
      </c>
      <c r="AC28" s="440">
        <f>AC27</f>
        <v>0</v>
      </c>
      <c r="AD28" s="362">
        <f t="shared" si="6"/>
        <v>0</v>
      </c>
      <c r="AE28" s="241" t="str">
        <f t="shared" si="3"/>
        <v/>
      </c>
      <c r="AF28" s="241" t="str">
        <f t="shared" si="3"/>
        <v/>
      </c>
      <c r="AG28" s="242" t="str">
        <f t="shared" si="3"/>
        <v/>
      </c>
      <c r="AH28" s="440" t="e">
        <f>AH27</f>
        <v>#DIV/0!</v>
      </c>
      <c r="AI28" s="242" t="e">
        <f t="shared" si="12"/>
        <v>#DIV/0!</v>
      </c>
      <c r="AJ28" s="361" t="e">
        <f t="shared" si="7"/>
        <v>#DIV/0!</v>
      </c>
      <c r="AK28" s="242" t="e">
        <f t="shared" si="8"/>
        <v>#DIV/0!</v>
      </c>
      <c r="AL28" s="419" t="s">
        <v>223</v>
      </c>
      <c r="AM28" s="150"/>
      <c r="AN28" s="164"/>
      <c r="AO28" s="294"/>
      <c r="AP28" s="164"/>
      <c r="AQ28" s="164"/>
    </row>
    <row r="29" spans="1:43" s="167" customFormat="1" ht="15.65" customHeight="1">
      <c r="A29" s="408" t="s">
        <v>399</v>
      </c>
      <c r="B29" s="414" t="e">
        <f>SUM(B30:B32)</f>
        <v>#DIV/0!</v>
      </c>
      <c r="C29" s="150"/>
      <c r="D29" s="150"/>
      <c r="E29" s="150"/>
      <c r="F29" s="150"/>
      <c r="G29" s="150"/>
      <c r="H29" s="150"/>
      <c r="I29" s="150"/>
      <c r="J29" s="150"/>
      <c r="K29" s="150"/>
      <c r="L29" s="419"/>
      <c r="M29" s="164"/>
      <c r="N29" s="437" t="s">
        <v>225</v>
      </c>
      <c r="O29" s="410" t="e">
        <f>P29-P28</f>
        <v>#DIV/0!</v>
      </c>
      <c r="P29" s="381" t="e">
        <f t="shared" si="9"/>
        <v>#DIV/0!</v>
      </c>
      <c r="Q29" s="363" t="e">
        <f t="shared" ref="Q29:Q32" si="16">S29-R29</f>
        <v>#DIV/0!</v>
      </c>
      <c r="R29" s="365" t="e">
        <f t="shared" ref="R29:R32" si="17">R28</f>
        <v>#DIV/0!</v>
      </c>
      <c r="S29" s="364" t="e">
        <f t="shared" ref="S29:S35" si="18">AD29/(1-V29)</f>
        <v>#DIV/0!</v>
      </c>
      <c r="T29" s="243">
        <f t="shared" si="4"/>
        <v>0</v>
      </c>
      <c r="U29" s="243">
        <f t="shared" si="4"/>
        <v>0</v>
      </c>
      <c r="V29" s="244" t="e">
        <f t="shared" si="13"/>
        <v>#DIV/0!</v>
      </c>
      <c r="W29" s="452" t="e">
        <f t="shared" si="14"/>
        <v>#DIV/0!</v>
      </c>
      <c r="X29" s="244" t="e">
        <f t="shared" si="14"/>
        <v>#DIV/0!</v>
      </c>
      <c r="Y29" s="365">
        <f t="shared" si="10"/>
        <v>0</v>
      </c>
      <c r="Z29" s="365">
        <f t="shared" si="10"/>
        <v>0</v>
      </c>
      <c r="AA29" s="364">
        <f t="shared" si="11"/>
        <v>0</v>
      </c>
      <c r="AB29" s="366">
        <f>AB28+IFERROR(AB$26*($F10),0)</f>
        <v>0</v>
      </c>
      <c r="AC29" s="365">
        <f t="shared" ref="AC29:AC32" si="19">AC28</f>
        <v>0</v>
      </c>
      <c r="AD29" s="364">
        <f t="shared" si="6"/>
        <v>0</v>
      </c>
      <c r="AE29" s="243" t="str">
        <f t="shared" si="3"/>
        <v/>
      </c>
      <c r="AF29" s="243" t="str">
        <f t="shared" si="3"/>
        <v/>
      </c>
      <c r="AG29" s="244" t="str">
        <f t="shared" si="3"/>
        <v/>
      </c>
      <c r="AH29" s="365" t="e">
        <f>AH28</f>
        <v>#DIV/0!</v>
      </c>
      <c r="AI29" s="244" t="e">
        <f t="shared" si="12"/>
        <v>#DIV/0!</v>
      </c>
      <c r="AJ29" s="363" t="e">
        <f t="shared" si="7"/>
        <v>#DIV/0!</v>
      </c>
      <c r="AK29" s="244" t="e">
        <f t="shared" si="8"/>
        <v>#DIV/0!</v>
      </c>
      <c r="AL29" s="419"/>
      <c r="AM29" s="150"/>
      <c r="AN29" s="172" t="s">
        <v>226</v>
      </c>
      <c r="AO29" s="272"/>
      <c r="AP29" s="272"/>
      <c r="AQ29" s="272"/>
    </row>
    <row r="30" spans="1:43" s="167" customFormat="1" ht="15.65" customHeight="1">
      <c r="A30" s="572" t="s">
        <v>220</v>
      </c>
      <c r="B30" s="413" t="e">
        <f>O26-B31</f>
        <v>#DIV/0!</v>
      </c>
      <c r="C30" s="637" t="s">
        <v>221</v>
      </c>
      <c r="D30" s="638"/>
      <c r="E30" s="638"/>
      <c r="F30" s="638"/>
      <c r="G30" s="638"/>
      <c r="H30" s="638"/>
      <c r="I30" s="638"/>
      <c r="J30" s="638"/>
      <c r="K30" s="638"/>
      <c r="L30" s="639"/>
      <c r="M30" s="164"/>
      <c r="N30" s="437" t="s">
        <v>176</v>
      </c>
      <c r="O30" s="410" t="e">
        <f>P30-P29</f>
        <v>#DIV/0!</v>
      </c>
      <c r="P30" s="381" t="e">
        <f t="shared" si="9"/>
        <v>#DIV/0!</v>
      </c>
      <c r="Q30" s="363" t="e">
        <f t="shared" si="16"/>
        <v>#DIV/0!</v>
      </c>
      <c r="R30" s="365" t="e">
        <f t="shared" si="17"/>
        <v>#DIV/0!</v>
      </c>
      <c r="S30" s="364" t="e">
        <f t="shared" si="18"/>
        <v>#DIV/0!</v>
      </c>
      <c r="T30" s="243">
        <f t="shared" si="4"/>
        <v>0</v>
      </c>
      <c r="U30" s="243">
        <f t="shared" si="4"/>
        <v>0</v>
      </c>
      <c r="V30" s="244" t="e">
        <f t="shared" si="13"/>
        <v>#DIV/0!</v>
      </c>
      <c r="W30" s="452" t="e">
        <f t="shared" si="14"/>
        <v>#DIV/0!</v>
      </c>
      <c r="X30" s="244" t="e">
        <f t="shared" si="14"/>
        <v>#DIV/0!</v>
      </c>
      <c r="Y30" s="365">
        <f t="shared" si="10"/>
        <v>0</v>
      </c>
      <c r="Z30" s="365">
        <f t="shared" si="10"/>
        <v>0</v>
      </c>
      <c r="AA30" s="364">
        <f t="shared" si="11"/>
        <v>0</v>
      </c>
      <c r="AB30" s="366">
        <f>AB29+IFERROR(AB$26*($F11),0)</f>
        <v>0</v>
      </c>
      <c r="AC30" s="365">
        <f t="shared" si="19"/>
        <v>0</v>
      </c>
      <c r="AD30" s="364">
        <f t="shared" si="6"/>
        <v>0</v>
      </c>
      <c r="AE30" s="243" t="str">
        <f t="shared" si="3"/>
        <v/>
      </c>
      <c r="AF30" s="243" t="str">
        <f t="shared" si="3"/>
        <v/>
      </c>
      <c r="AG30" s="244" t="str">
        <f t="shared" si="3"/>
        <v/>
      </c>
      <c r="AH30" s="365" t="e">
        <f t="shared" ref="AH30:AH34" si="20">AH29</f>
        <v>#DIV/0!</v>
      </c>
      <c r="AI30" s="244" t="e">
        <f t="shared" si="12"/>
        <v>#DIV/0!</v>
      </c>
      <c r="AJ30" s="363" t="e">
        <f t="shared" si="7"/>
        <v>#DIV/0!</v>
      </c>
      <c r="AK30" s="244" t="e">
        <f t="shared" si="8"/>
        <v>#DIV/0!</v>
      </c>
      <c r="AL30" s="419"/>
      <c r="AM30" s="150"/>
      <c r="AN30" s="306" t="s">
        <v>0</v>
      </c>
      <c r="AO30" s="310" t="s">
        <v>11</v>
      </c>
      <c r="AP30" s="229" t="s">
        <v>17</v>
      </c>
      <c r="AQ30" s="229" t="s">
        <v>210</v>
      </c>
    </row>
    <row r="31" spans="1:43" s="167" customFormat="1" ht="15.65" customHeight="1">
      <c r="A31" s="572" t="s">
        <v>407</v>
      </c>
      <c r="B31" s="508" t="e">
        <f>-O27</f>
        <v>#DIV/0!</v>
      </c>
      <c r="C31" s="637" t="s">
        <v>221</v>
      </c>
      <c r="D31" s="638"/>
      <c r="E31" s="638"/>
      <c r="F31" s="638"/>
      <c r="G31" s="638"/>
      <c r="H31" s="638"/>
      <c r="I31" s="638"/>
      <c r="J31" s="638"/>
      <c r="K31" s="638"/>
      <c r="L31" s="639"/>
      <c r="M31" s="164"/>
      <c r="N31" s="437" t="s">
        <v>409</v>
      </c>
      <c r="O31" s="450" t="e">
        <f>P31-P30</f>
        <v>#DIV/0!</v>
      </c>
      <c r="P31" s="381" t="e">
        <f t="shared" si="9"/>
        <v>#DIV/0!</v>
      </c>
      <c r="Q31" s="363" t="e">
        <f t="shared" si="16"/>
        <v>#DIV/0!</v>
      </c>
      <c r="R31" s="365" t="e">
        <f t="shared" si="17"/>
        <v>#DIV/0!</v>
      </c>
      <c r="S31" s="364" t="e">
        <f t="shared" si="18"/>
        <v>#DIV/0!</v>
      </c>
      <c r="T31" s="243">
        <f t="shared" si="4"/>
        <v>0</v>
      </c>
      <c r="U31" s="243">
        <f t="shared" si="4"/>
        <v>0</v>
      </c>
      <c r="V31" s="244" t="e">
        <f t="shared" si="13"/>
        <v>#DIV/0!</v>
      </c>
      <c r="W31" s="452" t="e">
        <f t="shared" si="14"/>
        <v>#DIV/0!</v>
      </c>
      <c r="X31" s="244" t="e">
        <f t="shared" si="14"/>
        <v>#DIV/0!</v>
      </c>
      <c r="Y31" s="365">
        <f t="shared" si="10"/>
        <v>0</v>
      </c>
      <c r="Z31" s="365">
        <f t="shared" si="10"/>
        <v>0</v>
      </c>
      <c r="AA31" s="364">
        <f t="shared" si="11"/>
        <v>0</v>
      </c>
      <c r="AB31" s="366">
        <f>AB30+IFERROR(AB$26*($F12),0)</f>
        <v>0</v>
      </c>
      <c r="AC31" s="365">
        <f t="shared" si="19"/>
        <v>0</v>
      </c>
      <c r="AD31" s="364">
        <f t="shared" si="6"/>
        <v>0</v>
      </c>
      <c r="AE31" s="243" t="str">
        <f t="shared" si="3"/>
        <v/>
      </c>
      <c r="AF31" s="243" t="str">
        <f t="shared" si="3"/>
        <v/>
      </c>
      <c r="AG31" s="244" t="str">
        <f t="shared" si="3"/>
        <v/>
      </c>
      <c r="AH31" s="365" t="e">
        <f t="shared" si="20"/>
        <v>#DIV/0!</v>
      </c>
      <c r="AI31" s="244" t="e">
        <f t="shared" si="12"/>
        <v>#DIV/0!</v>
      </c>
      <c r="AJ31" s="363" t="e">
        <f t="shared" si="7"/>
        <v>#DIV/0!</v>
      </c>
      <c r="AK31" s="244" t="e">
        <f t="shared" si="8"/>
        <v>#DIV/0!</v>
      </c>
      <c r="AL31" s="419"/>
      <c r="AM31" s="150"/>
      <c r="AN31" s="309" t="s">
        <v>11</v>
      </c>
      <c r="AO31" s="323">
        <f>IFERROR(SUMIFS('Template A - Products'!$N$1:$N$30000,'Template A - Products'!$F$1:$F$30000,$AN31,'Template A - Products'!$G$1:$G$30000,AO$21),"")</f>
        <v>0</v>
      </c>
      <c r="AP31" s="327"/>
      <c r="AQ31" s="347">
        <f>IFERROR(SUMIFS('Template A - Products'!$N$1:$N$30000,'Template A - Products'!$F$1:$F$30000,$AN31,'Template A - Products'!$G$1:$G$30000,AQ$21),"")</f>
        <v>0</v>
      </c>
    </row>
    <row r="32" spans="1:43" s="167" customFormat="1" ht="15.65" customHeight="1">
      <c r="A32" s="572" t="s">
        <v>224</v>
      </c>
      <c r="B32" s="413" t="e">
        <f>O25</f>
        <v>#DIV/0!</v>
      </c>
      <c r="C32" s="637" t="s">
        <v>221</v>
      </c>
      <c r="D32" s="638"/>
      <c r="E32" s="638"/>
      <c r="F32" s="638"/>
      <c r="G32" s="638"/>
      <c r="H32" s="638"/>
      <c r="I32" s="638"/>
      <c r="J32" s="638"/>
      <c r="K32" s="638"/>
      <c r="L32" s="639"/>
      <c r="M32" s="164"/>
      <c r="N32" s="250" t="s">
        <v>413</v>
      </c>
      <c r="O32" s="409" t="e">
        <f>P32-P26</f>
        <v>#DIV/0!</v>
      </c>
      <c r="P32" s="381" t="e">
        <f t="shared" si="9"/>
        <v>#DIV/0!</v>
      </c>
      <c r="Q32" s="363" t="e">
        <f t="shared" si="16"/>
        <v>#DIV/0!</v>
      </c>
      <c r="R32" s="365" t="e">
        <f t="shared" si="17"/>
        <v>#DIV/0!</v>
      </c>
      <c r="S32" s="364" t="e">
        <f t="shared" si="18"/>
        <v>#DIV/0!</v>
      </c>
      <c r="T32" s="243">
        <f t="shared" si="4"/>
        <v>0</v>
      </c>
      <c r="U32" s="243">
        <f t="shared" si="4"/>
        <v>0</v>
      </c>
      <c r="V32" s="244" t="e">
        <f t="shared" si="13"/>
        <v>#DIV/0!</v>
      </c>
      <c r="W32" s="452" t="e">
        <f t="shared" si="14"/>
        <v>#DIV/0!</v>
      </c>
      <c r="X32" s="244" t="e">
        <f t="shared" si="14"/>
        <v>#DIV/0!</v>
      </c>
      <c r="Y32" s="365">
        <f t="shared" si="10"/>
        <v>0</v>
      </c>
      <c r="Z32" s="365">
        <f t="shared" si="10"/>
        <v>0</v>
      </c>
      <c r="AA32" s="364">
        <f t="shared" si="11"/>
        <v>0</v>
      </c>
      <c r="AB32" s="366">
        <f>AB$26*(1+$F8)</f>
        <v>0</v>
      </c>
      <c r="AC32" s="365">
        <f t="shared" si="19"/>
        <v>0</v>
      </c>
      <c r="AD32" s="364">
        <f t="shared" si="6"/>
        <v>0</v>
      </c>
      <c r="AE32" s="243" t="str">
        <f t="shared" si="3"/>
        <v/>
      </c>
      <c r="AF32" s="243" t="str">
        <f t="shared" si="3"/>
        <v/>
      </c>
      <c r="AG32" s="244" t="str">
        <f t="shared" si="3"/>
        <v/>
      </c>
      <c r="AH32" s="365" t="e">
        <f t="shared" si="20"/>
        <v>#DIV/0!</v>
      </c>
      <c r="AI32" s="244" t="e">
        <f t="shared" si="12"/>
        <v>#DIV/0!</v>
      </c>
      <c r="AJ32" s="363" t="e">
        <f t="shared" si="7"/>
        <v>#DIV/0!</v>
      </c>
      <c r="AK32" s="244" t="e">
        <f t="shared" si="8"/>
        <v>#DIV/0!</v>
      </c>
      <c r="AL32" s="419"/>
      <c r="AM32" s="150"/>
      <c r="AN32" s="309" t="s">
        <v>16</v>
      </c>
      <c r="AO32" s="305">
        <f>IFERROR(SUMIFS('Template A - Products'!$N$1:$N$30000,'Template A - Products'!$F$1:$F$30000,$AN32,'Template A - Products'!$G$1:$G$30000,AO$21),"")</f>
        <v>0</v>
      </c>
      <c r="AP32" s="324">
        <f>AO32</f>
        <v>0</v>
      </c>
      <c r="AQ32" s="324">
        <f>IFERROR(SUMIFS('Template A - Products'!$N$1:$N$30000,'Template A - Products'!$F$1:$F$30000,$AN32,'Template A - Products'!$G$1:$G$30000,AQ$21),"")</f>
        <v>0</v>
      </c>
    </row>
    <row r="33" spans="1:43" s="167" customFormat="1" ht="15.65" customHeight="1">
      <c r="A33" s="411" t="s">
        <v>227</v>
      </c>
      <c r="B33" s="414" t="e">
        <f>O34-B40</f>
        <v>#DIV/0!</v>
      </c>
      <c r="C33" s="637" t="s">
        <v>221</v>
      </c>
      <c r="D33" s="638"/>
      <c r="E33" s="638"/>
      <c r="F33" s="638"/>
      <c r="G33" s="638"/>
      <c r="H33" s="638"/>
      <c r="I33" s="638"/>
      <c r="J33" s="638"/>
      <c r="K33" s="638"/>
      <c r="L33" s="639"/>
      <c r="M33" s="164"/>
      <c r="N33" s="250" t="s">
        <v>177</v>
      </c>
      <c r="O33" s="451" t="e">
        <f>P33-P32</f>
        <v>#DIV/0!</v>
      </c>
      <c r="P33" s="381" t="e">
        <f t="shared" si="9"/>
        <v>#DIV/0!</v>
      </c>
      <c r="Q33" s="365" t="e">
        <f>Q32</f>
        <v>#DIV/0!</v>
      </c>
      <c r="R33" s="366" t="e">
        <f>S33-Q33</f>
        <v>#DIV/0!</v>
      </c>
      <c r="S33" s="364" t="e">
        <f t="shared" si="18"/>
        <v>#DIV/0!</v>
      </c>
      <c r="T33" s="243">
        <f t="shared" si="4"/>
        <v>0</v>
      </c>
      <c r="U33" s="243">
        <f t="shared" si="4"/>
        <v>0</v>
      </c>
      <c r="V33" s="244" t="e">
        <f t="shared" si="13"/>
        <v>#DIV/0!</v>
      </c>
      <c r="W33" s="452" t="e">
        <f t="shared" si="14"/>
        <v>#DIV/0!</v>
      </c>
      <c r="X33" s="244" t="e">
        <f t="shared" si="14"/>
        <v>#DIV/0!</v>
      </c>
      <c r="Y33" s="365">
        <f t="shared" si="10"/>
        <v>0</v>
      </c>
      <c r="Z33" s="365">
        <f t="shared" si="10"/>
        <v>0</v>
      </c>
      <c r="AA33" s="364">
        <f t="shared" si="11"/>
        <v>0</v>
      </c>
      <c r="AB33" s="365">
        <f>AB32</f>
        <v>0</v>
      </c>
      <c r="AC33" s="366">
        <f>AC$26*(1+$F$13)</f>
        <v>0</v>
      </c>
      <c r="AD33" s="364">
        <f t="shared" si="6"/>
        <v>0</v>
      </c>
      <c r="AE33" s="243" t="str">
        <f t="shared" si="3"/>
        <v/>
      </c>
      <c r="AF33" s="243" t="str">
        <f t="shared" si="3"/>
        <v/>
      </c>
      <c r="AG33" s="244" t="str">
        <f t="shared" si="3"/>
        <v/>
      </c>
      <c r="AH33" s="365" t="e">
        <f t="shared" si="20"/>
        <v>#DIV/0!</v>
      </c>
      <c r="AI33" s="244" t="e">
        <f t="shared" si="12"/>
        <v>#DIV/0!</v>
      </c>
      <c r="AJ33" s="363" t="e">
        <f t="shared" si="7"/>
        <v>#DIV/0!</v>
      </c>
      <c r="AK33" s="244" t="e">
        <f t="shared" si="8"/>
        <v>#DIV/0!</v>
      </c>
      <c r="AL33" s="419"/>
      <c r="AM33" s="150"/>
      <c r="AN33" s="309" t="s">
        <v>17</v>
      </c>
      <c r="AO33" s="350"/>
      <c r="AP33" s="345">
        <f>IFERROR(SUMIFS('Template A - Products'!$N$1:$N$30000,'Template A - Products'!$F$1:$F$30000,$AP$21),"")</f>
        <v>0</v>
      </c>
      <c r="AQ33" s="346">
        <f>IFERROR(SUMIFS('Template A - Products'!$N$1:$N$30000,'Template A - Products'!$G$1:$G$30000,""),"")</f>
        <v>0</v>
      </c>
    </row>
    <row r="34" spans="1:43" s="167" customFormat="1" ht="15.65" customHeight="1">
      <c r="A34" s="412" t="s">
        <v>408</v>
      </c>
      <c r="B34" s="413" t="e">
        <f>O32-B40</f>
        <v>#DIV/0!</v>
      </c>
      <c r="C34" s="637" t="s">
        <v>221</v>
      </c>
      <c r="D34" s="638"/>
      <c r="E34" s="638"/>
      <c r="F34" s="638"/>
      <c r="G34" s="638"/>
      <c r="H34" s="638"/>
      <c r="I34" s="638"/>
      <c r="J34" s="638"/>
      <c r="K34" s="638"/>
      <c r="L34" s="639"/>
      <c r="M34" s="164"/>
      <c r="N34" s="481" t="s">
        <v>228</v>
      </c>
      <c r="O34" s="382" t="e">
        <f>P34-P26</f>
        <v>#DIV/0!</v>
      </c>
      <c r="P34" s="482" t="e">
        <f t="shared" si="9"/>
        <v>#DIV/0!</v>
      </c>
      <c r="Q34" s="483" t="e">
        <f t="shared" ref="Q34:R34" si="21">Q33</f>
        <v>#DIV/0!</v>
      </c>
      <c r="R34" s="483" t="e">
        <f t="shared" si="21"/>
        <v>#DIV/0!</v>
      </c>
      <c r="S34" s="484" t="e">
        <f t="shared" si="18"/>
        <v>#DIV/0!</v>
      </c>
      <c r="T34" s="485">
        <f t="shared" si="4"/>
        <v>0</v>
      </c>
      <c r="U34" s="485">
        <f t="shared" si="4"/>
        <v>0</v>
      </c>
      <c r="V34" s="486" t="e">
        <f t="shared" si="13"/>
        <v>#DIV/0!</v>
      </c>
      <c r="W34" s="487" t="e">
        <f t="shared" si="14"/>
        <v>#DIV/0!</v>
      </c>
      <c r="X34" s="486" t="e">
        <f t="shared" si="14"/>
        <v>#DIV/0!</v>
      </c>
      <c r="Y34" s="483">
        <f t="shared" si="10"/>
        <v>0</v>
      </c>
      <c r="Z34" s="483">
        <f t="shared" si="10"/>
        <v>0</v>
      </c>
      <c r="AA34" s="484">
        <f t="shared" si="11"/>
        <v>0</v>
      </c>
      <c r="AB34" s="483">
        <f>AB33</f>
        <v>0</v>
      </c>
      <c r="AC34" s="483">
        <f>AC33</f>
        <v>0</v>
      </c>
      <c r="AD34" s="484">
        <f t="shared" si="6"/>
        <v>0</v>
      </c>
      <c r="AE34" s="485" t="str">
        <f t="shared" si="3"/>
        <v/>
      </c>
      <c r="AF34" s="485" t="str">
        <f t="shared" si="3"/>
        <v/>
      </c>
      <c r="AG34" s="486" t="str">
        <f t="shared" si="3"/>
        <v/>
      </c>
      <c r="AH34" s="365" t="e">
        <f t="shared" si="20"/>
        <v>#DIV/0!</v>
      </c>
      <c r="AI34" s="486" t="e">
        <f t="shared" si="12"/>
        <v>#DIV/0!</v>
      </c>
      <c r="AJ34" s="488" t="e">
        <f t="shared" si="7"/>
        <v>#DIV/0!</v>
      </c>
      <c r="AK34" s="486" t="e">
        <f t="shared" si="8"/>
        <v>#DIV/0!</v>
      </c>
      <c r="AL34" s="419" t="s">
        <v>229</v>
      </c>
      <c r="AM34" s="150"/>
      <c r="AN34" s="328" t="s">
        <v>210</v>
      </c>
      <c r="AO34" s="351">
        <f t="shared" ref="AO34:AQ34" si="22">SUM(AO31:AO33)</f>
        <v>0</v>
      </c>
      <c r="AP34" s="325">
        <f t="shared" si="22"/>
        <v>0</v>
      </c>
      <c r="AQ34" s="325">
        <f t="shared" si="22"/>
        <v>0</v>
      </c>
    </row>
    <row r="35" spans="1:43" s="167" customFormat="1" ht="15.65" customHeight="1">
      <c r="A35" s="573" t="s">
        <v>174</v>
      </c>
      <c r="B35" s="570" t="e">
        <f>O28</f>
        <v>#DIV/0!</v>
      </c>
      <c r="C35" s="637" t="s">
        <v>221</v>
      </c>
      <c r="D35" s="638"/>
      <c r="E35" s="638"/>
      <c r="F35" s="638"/>
      <c r="G35" s="638"/>
      <c r="H35" s="638"/>
      <c r="I35" s="638"/>
      <c r="J35" s="638"/>
      <c r="K35" s="638"/>
      <c r="L35" s="639"/>
      <c r="M35" s="164"/>
      <c r="N35" s="481" t="s">
        <v>230</v>
      </c>
      <c r="O35" s="382" t="e">
        <f>P35-P34</f>
        <v>#DIV/0!</v>
      </c>
      <c r="P35" s="482" t="e">
        <f t="shared" si="9"/>
        <v>#DIV/0!</v>
      </c>
      <c r="Q35" s="489" t="e">
        <f>$S35*Q34/$S34</f>
        <v>#DIV/0!</v>
      </c>
      <c r="R35" s="489" t="e">
        <f>$S35*R34/$S34</f>
        <v>#DIV/0!</v>
      </c>
      <c r="S35" s="484" t="e">
        <f t="shared" si="18"/>
        <v>#DIV/0!</v>
      </c>
      <c r="T35" s="485">
        <f t="shared" si="4"/>
        <v>0</v>
      </c>
      <c r="U35" s="485">
        <f t="shared" si="4"/>
        <v>0</v>
      </c>
      <c r="V35" s="486" t="e">
        <f t="shared" si="13"/>
        <v>#DIV/0!</v>
      </c>
      <c r="W35" s="490" t="e">
        <f>AI35</f>
        <v>#DIV/0!</v>
      </c>
      <c r="X35" s="486" t="e">
        <f>X34</f>
        <v>#DIV/0!</v>
      </c>
      <c r="Y35" s="488">
        <f>IFERROR(AB35/(1-AE$26),0)</f>
        <v>0</v>
      </c>
      <c r="Z35" s="483">
        <f>Z34</f>
        <v>0</v>
      </c>
      <c r="AA35" s="484">
        <f t="shared" ref="AA35" si="23">SUM(Y35:Z35)</f>
        <v>0</v>
      </c>
      <c r="AB35" s="483">
        <f>AB34</f>
        <v>0</v>
      </c>
      <c r="AC35" s="483">
        <f>AC34</f>
        <v>0</v>
      </c>
      <c r="AD35" s="484">
        <f t="shared" ref="AD35" si="24">SUM(AB35:AC35)</f>
        <v>0</v>
      </c>
      <c r="AE35" s="485" t="str">
        <f t="shared" si="3"/>
        <v/>
      </c>
      <c r="AF35" s="485" t="str">
        <f t="shared" si="3"/>
        <v/>
      </c>
      <c r="AG35" s="486" t="str">
        <f t="shared" si="3"/>
        <v/>
      </c>
      <c r="AH35" s="436" t="e">
        <f>AA35*$Q$69</f>
        <v>#DIV/0!</v>
      </c>
      <c r="AI35" s="486" t="e">
        <f t="shared" si="12"/>
        <v>#DIV/0!</v>
      </c>
      <c r="AJ35" s="488" t="e">
        <f t="shared" si="7"/>
        <v>#DIV/0!</v>
      </c>
      <c r="AK35" s="486" t="e">
        <f t="shared" si="8"/>
        <v>#DIV/0!</v>
      </c>
      <c r="AL35" s="419" t="s">
        <v>231</v>
      </c>
      <c r="AM35" s="150"/>
      <c r="AN35" s="164"/>
      <c r="AO35" s="164"/>
      <c r="AP35" s="164"/>
      <c r="AQ35" s="164"/>
    </row>
    <row r="36" spans="1:43" s="167" customFormat="1" ht="15.65" customHeight="1">
      <c r="A36" s="573" t="s">
        <v>225</v>
      </c>
      <c r="B36" s="570" t="e">
        <f t="shared" ref="B36:B37" si="25">O29</f>
        <v>#DIV/0!</v>
      </c>
      <c r="C36" s="637" t="s">
        <v>221</v>
      </c>
      <c r="D36" s="638"/>
      <c r="E36" s="638"/>
      <c r="F36" s="638"/>
      <c r="G36" s="638"/>
      <c r="H36" s="638"/>
      <c r="I36" s="638"/>
      <c r="J36" s="638"/>
      <c r="K36" s="638"/>
      <c r="L36" s="639"/>
      <c r="M36" s="164"/>
      <c r="N36" s="455" t="s">
        <v>232</v>
      </c>
      <c r="O36" s="439"/>
      <c r="P36" s="379"/>
      <c r="Q36" s="361"/>
      <c r="R36" s="361"/>
      <c r="S36" s="362"/>
      <c r="T36" s="241"/>
      <c r="U36" s="241"/>
      <c r="V36" s="242"/>
      <c r="W36" s="453"/>
      <c r="X36" s="242"/>
      <c r="Y36" s="440"/>
      <c r="Z36" s="440"/>
      <c r="AA36" s="362"/>
      <c r="AB36" s="440"/>
      <c r="AC36" s="440"/>
      <c r="AD36" s="362"/>
      <c r="AE36" s="241"/>
      <c r="AF36" s="241"/>
      <c r="AG36" s="242"/>
      <c r="AH36" s="440"/>
      <c r="AI36" s="242"/>
      <c r="AJ36" s="361"/>
      <c r="AK36" s="242"/>
      <c r="AL36" s="419"/>
      <c r="AM36" s="150"/>
      <c r="AN36" s="164" t="s">
        <v>415</v>
      </c>
      <c r="AO36" s="164"/>
      <c r="AP36" s="164"/>
      <c r="AQ36" s="164"/>
    </row>
    <row r="37" spans="1:43" s="167" customFormat="1" ht="15.65" customHeight="1">
      <c r="A37" s="573" t="s">
        <v>176</v>
      </c>
      <c r="B37" s="570" t="e">
        <f t="shared" si="25"/>
        <v>#DIV/0!</v>
      </c>
      <c r="C37" s="637" t="s">
        <v>221</v>
      </c>
      <c r="D37" s="638"/>
      <c r="E37" s="638"/>
      <c r="F37" s="638"/>
      <c r="G37" s="638"/>
      <c r="H37" s="638"/>
      <c r="I37" s="638"/>
      <c r="J37" s="638"/>
      <c r="K37" s="638"/>
      <c r="L37" s="639"/>
      <c r="M37" s="164"/>
      <c r="N37" s="250" t="str">
        <f t="shared" ref="N37:N42" si="26">A44</f>
        <v>eg.Change to Prudential capital</v>
      </c>
      <c r="O37" s="410" t="e">
        <f>P37-P35</f>
        <v>#DIV/0!</v>
      </c>
      <c r="P37" s="381" t="e">
        <f t="shared" ref="P37:P42" si="27">S37/S$24-1</f>
        <v>#DIV/0!</v>
      </c>
      <c r="Q37" s="456" t="e">
        <f>$S37*Q35/$S35</f>
        <v>#DIV/0!</v>
      </c>
      <c r="R37" s="366" t="e">
        <f>$S37*R35/$S35</f>
        <v>#DIV/0!</v>
      </c>
      <c r="S37" s="449" t="e">
        <f t="shared" ref="S37:S42" si="28">AD37/(1-V37)</f>
        <v>#DIV/0!</v>
      </c>
      <c r="T37" s="243">
        <f t="shared" ref="T37:U42" si="29">IFERROR(1-AB37/Q37,0)</f>
        <v>0</v>
      </c>
      <c r="U37" s="243">
        <f t="shared" si="29"/>
        <v>0</v>
      </c>
      <c r="V37" s="244" t="e">
        <f t="shared" ref="V37:V42" si="30">X37+W37</f>
        <v>#DIV/0!</v>
      </c>
      <c r="W37" s="452" t="e">
        <f>W35</f>
        <v>#DIV/0!</v>
      </c>
      <c r="X37" s="448" t="e">
        <f>X35+C44</f>
        <v>#DIV/0!</v>
      </c>
      <c r="Y37" s="365">
        <f>Y35</f>
        <v>0</v>
      </c>
      <c r="Z37" s="365">
        <f t="shared" ref="Z37:AC37" si="31">Z35</f>
        <v>0</v>
      </c>
      <c r="AA37" s="364">
        <f t="shared" ref="AA37" si="32">SUM(Y37:Z37)</f>
        <v>0</v>
      </c>
      <c r="AB37" s="365">
        <f t="shared" si="31"/>
        <v>0</v>
      </c>
      <c r="AC37" s="365">
        <f t="shared" si="31"/>
        <v>0</v>
      </c>
      <c r="AD37" s="364">
        <f t="shared" ref="AD37" si="33">SUM(AB37:AC37)</f>
        <v>0</v>
      </c>
      <c r="AE37" s="243" t="str">
        <f t="shared" ref="AE37:AG42" si="34">IFERROR((Y37-AB37)/Y37,"")</f>
        <v/>
      </c>
      <c r="AF37" s="243" t="str">
        <f t="shared" si="34"/>
        <v/>
      </c>
      <c r="AG37" s="244" t="str">
        <f t="shared" si="34"/>
        <v/>
      </c>
      <c r="AH37" s="365" t="e">
        <f>AH35</f>
        <v>#DIV/0!</v>
      </c>
      <c r="AI37" s="244" t="e">
        <f t="shared" ref="AI37:AI42" si="35">AH37/AA37</f>
        <v>#DIV/0!</v>
      </c>
      <c r="AJ37" s="363" t="e">
        <f t="shared" ref="AJ37:AJ42" si="36">AA37-AD37-AH37</f>
        <v>#DIV/0!</v>
      </c>
      <c r="AK37" s="244" t="e">
        <f t="shared" ref="AK37:AK42" si="37">AJ37/AA37</f>
        <v>#DIV/0!</v>
      </c>
      <c r="AL37" s="419"/>
      <c r="AM37" s="150"/>
      <c r="AN37" s="172" t="s">
        <v>417</v>
      </c>
      <c r="AO37" s="272"/>
      <c r="AP37" s="272"/>
      <c r="AQ37" s="272"/>
    </row>
    <row r="38" spans="1:43" s="167" customFormat="1" ht="15.65" customHeight="1">
      <c r="A38" s="573" t="s">
        <v>409</v>
      </c>
      <c r="B38" s="570">
        <f>IF(ISBLANK($F$12),0,O31-B40)</f>
        <v>0</v>
      </c>
      <c r="C38" s="637" t="s">
        <v>221</v>
      </c>
      <c r="D38" s="638"/>
      <c r="E38" s="638"/>
      <c r="F38" s="638"/>
      <c r="G38" s="638"/>
      <c r="H38" s="638"/>
      <c r="I38" s="638"/>
      <c r="J38" s="638"/>
      <c r="K38" s="638"/>
      <c r="L38" s="639"/>
      <c r="M38" s="164"/>
      <c r="N38" s="250" t="str">
        <f t="shared" si="26"/>
        <v>eg. Business risk adjustment</v>
      </c>
      <c r="O38" s="410" t="e">
        <f>P38-P37</f>
        <v>#DIV/0!</v>
      </c>
      <c r="P38" s="381" t="e">
        <f t="shared" si="27"/>
        <v>#DIV/0!</v>
      </c>
      <c r="Q38" s="457" t="e">
        <f t="shared" ref="Q38:R42" si="38">$S38*Q37/$S37</f>
        <v>#DIV/0!</v>
      </c>
      <c r="R38" s="363" t="e">
        <f t="shared" si="38"/>
        <v>#DIV/0!</v>
      </c>
      <c r="S38" s="364" t="e">
        <f t="shared" si="28"/>
        <v>#DIV/0!</v>
      </c>
      <c r="T38" s="243">
        <f t="shared" si="29"/>
        <v>0</v>
      </c>
      <c r="U38" s="243">
        <f t="shared" si="29"/>
        <v>0</v>
      </c>
      <c r="V38" s="244" t="e">
        <f t="shared" si="30"/>
        <v>#DIV/0!</v>
      </c>
      <c r="W38" s="452" t="e">
        <f>W37</f>
        <v>#DIV/0!</v>
      </c>
      <c r="X38" s="448" t="e">
        <f>X37+C45</f>
        <v>#DIV/0!</v>
      </c>
      <c r="Y38" s="365">
        <f t="shared" ref="Y38:Z42" si="39">Y37</f>
        <v>0</v>
      </c>
      <c r="Z38" s="365">
        <f t="shared" si="39"/>
        <v>0</v>
      </c>
      <c r="AA38" s="364">
        <f t="shared" ref="AA38" si="40">SUM(Y38:Z38)</f>
        <v>0</v>
      </c>
      <c r="AB38" s="365">
        <f t="shared" ref="AB38:AC42" si="41">AB37</f>
        <v>0</v>
      </c>
      <c r="AC38" s="365">
        <f t="shared" si="41"/>
        <v>0</v>
      </c>
      <c r="AD38" s="364">
        <f t="shared" ref="AD38" si="42">SUM(AB38:AC38)</f>
        <v>0</v>
      </c>
      <c r="AE38" s="243" t="str">
        <f t="shared" si="34"/>
        <v/>
      </c>
      <c r="AF38" s="243" t="str">
        <f t="shared" si="34"/>
        <v/>
      </c>
      <c r="AG38" s="244" t="str">
        <f t="shared" si="34"/>
        <v/>
      </c>
      <c r="AH38" s="365" t="e">
        <f>AH37</f>
        <v>#DIV/0!</v>
      </c>
      <c r="AI38" s="244" t="e">
        <f t="shared" si="35"/>
        <v>#DIV/0!</v>
      </c>
      <c r="AJ38" s="363" t="e">
        <f t="shared" si="36"/>
        <v>#DIV/0!</v>
      </c>
      <c r="AK38" s="244" t="e">
        <f t="shared" si="37"/>
        <v>#DIV/0!</v>
      </c>
      <c r="AL38" s="459"/>
      <c r="AM38" s="150"/>
      <c r="AN38" s="561" t="s">
        <v>416</v>
      </c>
      <c r="AO38" s="272"/>
      <c r="AP38" s="272"/>
      <c r="AQ38" s="272"/>
    </row>
    <row r="39" spans="1:43" s="167" customFormat="1" ht="15.65" customHeight="1">
      <c r="A39" s="412" t="s">
        <v>177</v>
      </c>
      <c r="B39" s="413" t="e">
        <f>O33</f>
        <v>#DIV/0!</v>
      </c>
      <c r="C39" s="637" t="s">
        <v>221</v>
      </c>
      <c r="D39" s="638"/>
      <c r="E39" s="638"/>
      <c r="F39" s="638"/>
      <c r="G39" s="638"/>
      <c r="H39" s="638"/>
      <c r="I39" s="638"/>
      <c r="J39" s="638"/>
      <c r="K39" s="638"/>
      <c r="L39" s="639"/>
      <c r="M39" s="164"/>
      <c r="N39" s="250" t="str">
        <f t="shared" si="26"/>
        <v>eg. Margin adjustment</v>
      </c>
      <c r="O39" s="410" t="e">
        <f>P39-P38</f>
        <v>#DIV/0!</v>
      </c>
      <c r="P39" s="381" t="e">
        <f t="shared" si="27"/>
        <v>#DIV/0!</v>
      </c>
      <c r="Q39" s="457" t="e">
        <f t="shared" si="38"/>
        <v>#DIV/0!</v>
      </c>
      <c r="R39" s="363" t="e">
        <f t="shared" si="38"/>
        <v>#DIV/0!</v>
      </c>
      <c r="S39" s="364" t="e">
        <f t="shared" si="28"/>
        <v>#DIV/0!</v>
      </c>
      <c r="T39" s="243">
        <f t="shared" si="29"/>
        <v>0</v>
      </c>
      <c r="U39" s="243">
        <f t="shared" si="29"/>
        <v>0</v>
      </c>
      <c r="V39" s="244" t="e">
        <f t="shared" si="30"/>
        <v>#DIV/0!</v>
      </c>
      <c r="W39" s="452" t="e">
        <f>W38</f>
        <v>#DIV/0!</v>
      </c>
      <c r="X39" s="448" t="e">
        <f>X38+C46</f>
        <v>#DIV/0!</v>
      </c>
      <c r="Y39" s="365">
        <f t="shared" si="39"/>
        <v>0</v>
      </c>
      <c r="Z39" s="365">
        <f t="shared" si="39"/>
        <v>0</v>
      </c>
      <c r="AA39" s="364">
        <f t="shared" ref="AA39:AA42" si="43">SUM(Y39:Z39)</f>
        <v>0</v>
      </c>
      <c r="AB39" s="365">
        <f t="shared" si="41"/>
        <v>0</v>
      </c>
      <c r="AC39" s="365">
        <f t="shared" si="41"/>
        <v>0</v>
      </c>
      <c r="AD39" s="364">
        <f t="shared" ref="AD39:AD42" si="44">SUM(AB39:AC39)</f>
        <v>0</v>
      </c>
      <c r="AE39" s="243" t="str">
        <f t="shared" si="34"/>
        <v/>
      </c>
      <c r="AF39" s="243" t="str">
        <f t="shared" si="34"/>
        <v/>
      </c>
      <c r="AG39" s="244" t="str">
        <f t="shared" si="34"/>
        <v/>
      </c>
      <c r="AH39" s="365" t="e">
        <f>AH38</f>
        <v>#DIV/0!</v>
      </c>
      <c r="AI39" s="244" t="e">
        <f t="shared" si="35"/>
        <v>#DIV/0!</v>
      </c>
      <c r="AJ39" s="363" t="e">
        <f t="shared" si="36"/>
        <v>#DIV/0!</v>
      </c>
      <c r="AK39" s="244" t="e">
        <f t="shared" si="37"/>
        <v>#DIV/0!</v>
      </c>
      <c r="AL39" s="417"/>
      <c r="AM39" s="150"/>
      <c r="AN39" s="306" t="s">
        <v>0</v>
      </c>
      <c r="AO39" s="229" t="s">
        <v>11</v>
      </c>
      <c r="AP39" s="229" t="s">
        <v>197</v>
      </c>
      <c r="AQ39" s="342" t="s">
        <v>210</v>
      </c>
    </row>
    <row r="40" spans="1:43" s="167" customFormat="1" ht="26.15" customHeight="1">
      <c r="A40" s="411" t="s">
        <v>410</v>
      </c>
      <c r="B40" s="414" t="e">
        <f>-O43</f>
        <v>#DIV/0!</v>
      </c>
      <c r="C40" s="637" t="s">
        <v>221</v>
      </c>
      <c r="D40" s="638"/>
      <c r="E40" s="638"/>
      <c r="F40" s="638"/>
      <c r="G40" s="638"/>
      <c r="H40" s="638"/>
      <c r="I40" s="638"/>
      <c r="J40" s="638"/>
      <c r="K40" s="638"/>
      <c r="L40" s="639"/>
      <c r="M40" s="164"/>
      <c r="N40" s="250" t="str">
        <f t="shared" si="26"/>
        <v>Add additional factors as required</v>
      </c>
      <c r="O40" s="410" t="e">
        <f>P40-P39</f>
        <v>#DIV/0!</v>
      </c>
      <c r="P40" s="381" t="e">
        <f t="shared" si="27"/>
        <v>#DIV/0!</v>
      </c>
      <c r="Q40" s="457" t="e">
        <f t="shared" si="38"/>
        <v>#DIV/0!</v>
      </c>
      <c r="R40" s="363" t="e">
        <f t="shared" si="38"/>
        <v>#DIV/0!</v>
      </c>
      <c r="S40" s="364" t="e">
        <f t="shared" si="28"/>
        <v>#DIV/0!</v>
      </c>
      <c r="T40" s="243">
        <f t="shared" si="29"/>
        <v>0</v>
      </c>
      <c r="U40" s="243">
        <f t="shared" si="29"/>
        <v>0</v>
      </c>
      <c r="V40" s="244" t="e">
        <f t="shared" si="30"/>
        <v>#DIV/0!</v>
      </c>
      <c r="W40" s="452" t="e">
        <f>W39</f>
        <v>#DIV/0!</v>
      </c>
      <c r="X40" s="448" t="e">
        <f>X39+C47</f>
        <v>#DIV/0!</v>
      </c>
      <c r="Y40" s="365">
        <f t="shared" si="39"/>
        <v>0</v>
      </c>
      <c r="Z40" s="365">
        <f t="shared" si="39"/>
        <v>0</v>
      </c>
      <c r="AA40" s="364">
        <f t="shared" si="43"/>
        <v>0</v>
      </c>
      <c r="AB40" s="365">
        <f t="shared" si="41"/>
        <v>0</v>
      </c>
      <c r="AC40" s="365">
        <f t="shared" si="41"/>
        <v>0</v>
      </c>
      <c r="AD40" s="364">
        <f t="shared" si="44"/>
        <v>0</v>
      </c>
      <c r="AE40" s="243" t="str">
        <f t="shared" si="34"/>
        <v/>
      </c>
      <c r="AF40" s="243" t="str">
        <f t="shared" si="34"/>
        <v/>
      </c>
      <c r="AG40" s="244" t="str">
        <f t="shared" si="34"/>
        <v/>
      </c>
      <c r="AH40" s="365" t="e">
        <f>AH39</f>
        <v>#DIV/0!</v>
      </c>
      <c r="AI40" s="244" t="e">
        <f t="shared" si="35"/>
        <v>#DIV/0!</v>
      </c>
      <c r="AJ40" s="363" t="e">
        <f t="shared" si="36"/>
        <v>#DIV/0!</v>
      </c>
      <c r="AK40" s="244" t="e">
        <f t="shared" si="37"/>
        <v>#DIV/0!</v>
      </c>
      <c r="AL40" s="417"/>
      <c r="AM40" s="150"/>
      <c r="AN40" s="309" t="s">
        <v>11</v>
      </c>
      <c r="AO40" s="243">
        <f>IFERROR((SUMIFS('Template A - Products'!$AA$1:$AA$30000,'Template A - Products'!$G$1:$G$30000,AO$21,'Template A - Products'!$F$1:$F$30000,$AN40)/SUMIFS('Template A - Products'!$R$1:$R$30000,'Template A - Products'!$G$1:$G$30000,AO$21,'Template A - Products'!$F$1:$F$30000,$AN40)-1),0)</f>
        <v>0</v>
      </c>
      <c r="AP40" s="327"/>
      <c r="AQ40" s="340">
        <f>IFERROR((SUMIFS('Template A - Products'!$AA$1:$AA$30000,'Template A - Products'!$F$1:$F$30000,$AN40)/SUMIFS('Template A - Products'!$R$1:$R$30000,'Template A - Products'!$F$1:$F$30000,$AN40)-1),0)</f>
        <v>0</v>
      </c>
    </row>
    <row r="41" spans="1:43" s="167" customFormat="1" ht="15.65" customHeight="1">
      <c r="A41" s="408" t="s">
        <v>233</v>
      </c>
      <c r="B41" s="414">
        <f>$Q$61</f>
        <v>0</v>
      </c>
      <c r="C41" s="637" t="s">
        <v>234</v>
      </c>
      <c r="D41" s="638"/>
      <c r="E41" s="638"/>
      <c r="F41" s="638"/>
      <c r="G41" s="638"/>
      <c r="H41" s="638"/>
      <c r="I41" s="638"/>
      <c r="J41" s="638"/>
      <c r="K41" s="638"/>
      <c r="L41" s="639"/>
      <c r="M41" s="164"/>
      <c r="N41" s="250" t="str">
        <f t="shared" si="26"/>
        <v>Add additional factors as required</v>
      </c>
      <c r="O41" s="410" t="e">
        <f>P41-P40</f>
        <v>#DIV/0!</v>
      </c>
      <c r="P41" s="381" t="e">
        <f t="shared" si="27"/>
        <v>#DIV/0!</v>
      </c>
      <c r="Q41" s="457" t="e">
        <f t="shared" si="38"/>
        <v>#DIV/0!</v>
      </c>
      <c r="R41" s="363" t="e">
        <f t="shared" si="38"/>
        <v>#DIV/0!</v>
      </c>
      <c r="S41" s="364" t="e">
        <f t="shared" si="28"/>
        <v>#DIV/0!</v>
      </c>
      <c r="T41" s="243">
        <f t="shared" si="29"/>
        <v>0</v>
      </c>
      <c r="U41" s="243">
        <f t="shared" si="29"/>
        <v>0</v>
      </c>
      <c r="V41" s="244" t="e">
        <f t="shared" si="30"/>
        <v>#DIV/0!</v>
      </c>
      <c r="W41" s="452" t="e">
        <f>W40</f>
        <v>#DIV/0!</v>
      </c>
      <c r="X41" s="448" t="e">
        <f>X40+C48</f>
        <v>#DIV/0!</v>
      </c>
      <c r="Y41" s="365">
        <f t="shared" si="39"/>
        <v>0</v>
      </c>
      <c r="Z41" s="365">
        <f t="shared" si="39"/>
        <v>0</v>
      </c>
      <c r="AA41" s="364">
        <f t="shared" si="43"/>
        <v>0</v>
      </c>
      <c r="AB41" s="365">
        <f t="shared" si="41"/>
        <v>0</v>
      </c>
      <c r="AC41" s="365">
        <f t="shared" si="41"/>
        <v>0</v>
      </c>
      <c r="AD41" s="364">
        <f t="shared" si="44"/>
        <v>0</v>
      </c>
      <c r="AE41" s="243" t="str">
        <f t="shared" si="34"/>
        <v/>
      </c>
      <c r="AF41" s="243" t="str">
        <f t="shared" si="34"/>
        <v/>
      </c>
      <c r="AG41" s="244" t="str">
        <f t="shared" si="34"/>
        <v/>
      </c>
      <c r="AH41" s="365" t="e">
        <f>AH40</f>
        <v>#DIV/0!</v>
      </c>
      <c r="AI41" s="244" t="e">
        <f t="shared" si="35"/>
        <v>#DIV/0!</v>
      </c>
      <c r="AJ41" s="363" t="e">
        <f t="shared" si="36"/>
        <v>#DIV/0!</v>
      </c>
      <c r="AK41" s="244" t="e">
        <f t="shared" si="37"/>
        <v>#DIV/0!</v>
      </c>
      <c r="AL41" s="417"/>
      <c r="AM41" s="164"/>
      <c r="AN41" s="309" t="s">
        <v>16</v>
      </c>
      <c r="AO41" s="339">
        <f>AQ41+(1-$AN$18)*($AQ$40-$AQ$42)</f>
        <v>0</v>
      </c>
      <c r="AP41" s="340">
        <f>AO41-($AQ$40-$AQ$42)</f>
        <v>0</v>
      </c>
      <c r="AQ41" s="340">
        <f>IFERROR((SUMIFS('Template A - Products'!$AA$1:$AA$30000,'Template A - Products'!$F$1:$F$30000,$AN41)/SUMIFS('Template A - Products'!$R$1:$R$30000,'Template A - Products'!$F$1:$F$30000,$AN41)-1),0)</f>
        <v>0</v>
      </c>
    </row>
    <row r="42" spans="1:43" s="167" customFormat="1" ht="15.65" customHeight="1">
      <c r="A42" s="408" t="s">
        <v>235</v>
      </c>
      <c r="B42" s="414" t="e">
        <f>O35</f>
        <v>#DIV/0!</v>
      </c>
      <c r="C42" s="637" t="s">
        <v>221</v>
      </c>
      <c r="D42" s="638"/>
      <c r="E42" s="638"/>
      <c r="F42" s="638"/>
      <c r="G42" s="638"/>
      <c r="H42" s="638"/>
      <c r="I42" s="638"/>
      <c r="J42" s="638"/>
      <c r="K42" s="638"/>
      <c r="L42" s="639"/>
      <c r="M42" s="294"/>
      <c r="N42" s="250" t="str">
        <f t="shared" si="26"/>
        <v>Add additional factors as required</v>
      </c>
      <c r="O42" s="410" t="e">
        <f>P42-P41</f>
        <v>#DIV/0!</v>
      </c>
      <c r="P42" s="381" t="e">
        <f t="shared" si="27"/>
        <v>#DIV/0!</v>
      </c>
      <c r="Q42" s="457" t="e">
        <f t="shared" si="38"/>
        <v>#DIV/0!</v>
      </c>
      <c r="R42" s="363" t="e">
        <f t="shared" si="38"/>
        <v>#DIV/0!</v>
      </c>
      <c r="S42" s="364" t="e">
        <f t="shared" si="28"/>
        <v>#DIV/0!</v>
      </c>
      <c r="T42" s="243">
        <f t="shared" si="29"/>
        <v>0</v>
      </c>
      <c r="U42" s="243">
        <f t="shared" si="29"/>
        <v>0</v>
      </c>
      <c r="V42" s="244" t="e">
        <f t="shared" si="30"/>
        <v>#DIV/0!</v>
      </c>
      <c r="W42" s="452" t="e">
        <f>W41</f>
        <v>#DIV/0!</v>
      </c>
      <c r="X42" s="448" t="e">
        <f>X41+C49</f>
        <v>#DIV/0!</v>
      </c>
      <c r="Y42" s="365">
        <f t="shared" si="39"/>
        <v>0</v>
      </c>
      <c r="Z42" s="365">
        <f t="shared" si="39"/>
        <v>0</v>
      </c>
      <c r="AA42" s="364">
        <f t="shared" si="43"/>
        <v>0</v>
      </c>
      <c r="AB42" s="365">
        <f t="shared" si="41"/>
        <v>0</v>
      </c>
      <c r="AC42" s="365">
        <f t="shared" si="41"/>
        <v>0</v>
      </c>
      <c r="AD42" s="364">
        <f t="shared" si="44"/>
        <v>0</v>
      </c>
      <c r="AE42" s="243" t="str">
        <f t="shared" si="34"/>
        <v/>
      </c>
      <c r="AF42" s="243" t="str">
        <f t="shared" si="34"/>
        <v/>
      </c>
      <c r="AG42" s="244" t="str">
        <f t="shared" si="34"/>
        <v/>
      </c>
      <c r="AH42" s="365" t="e">
        <f>AH41</f>
        <v>#DIV/0!</v>
      </c>
      <c r="AI42" s="244" t="e">
        <f t="shared" si="35"/>
        <v>#DIV/0!</v>
      </c>
      <c r="AJ42" s="363" t="e">
        <f t="shared" si="36"/>
        <v>#DIV/0!</v>
      </c>
      <c r="AK42" s="244" t="e">
        <f t="shared" si="37"/>
        <v>#DIV/0!</v>
      </c>
      <c r="AL42" s="491"/>
      <c r="AM42" s="164"/>
      <c r="AN42" s="309" t="s">
        <v>17</v>
      </c>
      <c r="AO42" s="326"/>
      <c r="AP42" s="343">
        <f>IFERROR((SUMIFS('Template A - Products'!$AA$1:$AA$30000,'Template A - Products'!$F$1:$F$30000,$AN42)/SUMIFS('Template A - Products'!$R$1:$R$30000,'Template A - Products'!$F$1:$F$30000,$AN42)-1),0)</f>
        <v>0</v>
      </c>
      <c r="AQ42" s="340">
        <f>IFERROR((SUMIFS('Template A - Products'!$AA$1:$AA$30000,'Template A - Products'!$F$1:$F$30000,$AN42)/SUMIFS('Template A - Products'!$R$1:$R$30000,'Template A - Products'!$F$1:$F$30000,$AN42)-1),0)</f>
        <v>0</v>
      </c>
    </row>
    <row r="43" spans="1:43" s="167" customFormat="1" ht="15.65" customHeight="1">
      <c r="A43" s="408" t="s">
        <v>429</v>
      </c>
      <c r="B43" s="420"/>
      <c r="C43" s="246" t="s">
        <v>236</v>
      </c>
      <c r="D43" s="420"/>
      <c r="E43" s="420"/>
      <c r="F43" s="420"/>
      <c r="G43" s="420"/>
      <c r="H43" s="420"/>
      <c r="I43" s="420"/>
      <c r="J43" s="420"/>
      <c r="K43" s="420"/>
      <c r="L43" s="421"/>
      <c r="M43" s="293"/>
      <c r="N43" s="422" t="s">
        <v>414</v>
      </c>
      <c r="O43" s="423" t="e">
        <f>P43-P31</f>
        <v>#DIV/0!</v>
      </c>
      <c r="P43" s="424" t="e">
        <f>S43/S$24-1</f>
        <v>#DIV/0!</v>
      </c>
      <c r="Q43" s="458" t="e">
        <f>S43-R43</f>
        <v>#DIV/0!</v>
      </c>
      <c r="R43" s="427" t="e">
        <f>R31</f>
        <v>#DIV/0!</v>
      </c>
      <c r="S43" s="426" t="e">
        <f>AD43/(1-V43)</f>
        <v>#DIV/0!</v>
      </c>
      <c r="T43" s="428">
        <f>IFERROR(1-AB43/Q43,0)</f>
        <v>0</v>
      </c>
      <c r="U43" s="428">
        <f>IFERROR(1-AC43/R43,0)</f>
        <v>0</v>
      </c>
      <c r="V43" s="429" t="e">
        <f>X43+W43</f>
        <v>#DIV/0!</v>
      </c>
      <c r="W43" s="454" t="e">
        <f>W31</f>
        <v>#DIV/0!</v>
      </c>
      <c r="X43" s="429" t="e">
        <f>X31</f>
        <v>#DIV/0!</v>
      </c>
      <c r="Y43" s="441" t="e">
        <f>AB43/(1-AE$26)</f>
        <v>#VALUE!</v>
      </c>
      <c r="Z43" s="425">
        <f>Z35</f>
        <v>0</v>
      </c>
      <c r="AA43" s="426" t="e">
        <f>SUM(Y43:Z43)</f>
        <v>#VALUE!</v>
      </c>
      <c r="AB43" s="442">
        <f>AB31+Y26*($O$65)</f>
        <v>0</v>
      </c>
      <c r="AC43" s="427">
        <f>AC31</f>
        <v>0</v>
      </c>
      <c r="AD43" s="426">
        <f>SUM(AB43:AC43)</f>
        <v>0</v>
      </c>
      <c r="AE43" s="428" t="str">
        <f>IFERROR((Y43-AB43)/Y43,"")</f>
        <v/>
      </c>
      <c r="AF43" s="428" t="str">
        <f>IFERROR((Z43-AC43)/Z43,"")</f>
        <v/>
      </c>
      <c r="AG43" s="429" t="str">
        <f>IFERROR((AA43-AD43)/AA43,"")</f>
        <v/>
      </c>
      <c r="AH43" s="427" t="e">
        <f>AH31</f>
        <v>#DIV/0!</v>
      </c>
      <c r="AI43" s="429" t="e">
        <f>AH43/AA43</f>
        <v>#DIV/0!</v>
      </c>
      <c r="AJ43" s="425" t="e">
        <f>AA43-AD43-AH43</f>
        <v>#VALUE!</v>
      </c>
      <c r="AK43" s="429" t="e">
        <f>AJ43/AA43</f>
        <v>#VALUE!</v>
      </c>
      <c r="AL43" s="492" t="s">
        <v>241</v>
      </c>
      <c r="AM43" s="164"/>
      <c r="AN43" s="328" t="s">
        <v>210</v>
      </c>
      <c r="AO43" s="341">
        <f>IFERROR(SUMPRODUCT(AO24:AO25,AO40:AO41)/AO27,0)</f>
        <v>0</v>
      </c>
      <c r="AP43" s="341">
        <f>IFERROR(SUMPRODUCT(AP25:AP26,AP41:AP42)/AP27,0)</f>
        <v>0</v>
      </c>
      <c r="AQ43" s="344">
        <f>IFERROR(SUMPRODUCT(AQ24:AQ26,AQ40:AQ42)/AQ27,0)</f>
        <v>0</v>
      </c>
    </row>
    <row r="44" spans="1:43" s="167" customFormat="1" ht="15.65" customHeight="1">
      <c r="A44" s="574" t="s">
        <v>237</v>
      </c>
      <c r="B44" s="414" t="e">
        <f>O37</f>
        <v>#DIV/0!</v>
      </c>
      <c r="C44" s="407"/>
      <c r="D44" s="637" t="s">
        <v>221</v>
      </c>
      <c r="E44" s="646"/>
      <c r="F44" s="646"/>
      <c r="G44" s="646"/>
      <c r="H44" s="646"/>
      <c r="I44" s="646"/>
      <c r="J44" s="646"/>
      <c r="K44" s="646"/>
      <c r="L44" s="647"/>
      <c r="M44" s="164"/>
      <c r="N44" s="552" t="s">
        <v>404</v>
      </c>
      <c r="O44" s="164"/>
      <c r="P44" s="164"/>
      <c r="Q44" s="164"/>
      <c r="R44" s="164"/>
      <c r="S44" s="164"/>
      <c r="T44" s="164"/>
      <c r="U44" s="164"/>
      <c r="V44" s="164"/>
      <c r="W44" s="164"/>
      <c r="X44" s="164"/>
      <c r="Y44" s="164"/>
      <c r="Z44" s="164"/>
      <c r="AA44" s="164"/>
      <c r="AB44" s="164"/>
      <c r="AC44" s="164"/>
      <c r="AD44" s="164"/>
      <c r="AE44" s="164"/>
      <c r="AF44" s="164"/>
      <c r="AG44" s="164"/>
      <c r="AH44" s="164"/>
      <c r="AI44" s="164"/>
      <c r="AJ44" s="164"/>
      <c r="AK44" s="164"/>
      <c r="AL44" s="164"/>
      <c r="AM44" s="164"/>
      <c r="AN44" s="176" t="s">
        <v>242</v>
      </c>
      <c r="AO44" s="164"/>
      <c r="AP44" s="164"/>
      <c r="AQ44" s="164"/>
    </row>
    <row r="45" spans="1:43" s="167" customFormat="1" ht="15.65" customHeight="1">
      <c r="A45" s="574" t="s">
        <v>238</v>
      </c>
      <c r="B45" s="414" t="e">
        <f t="shared" ref="B45:B49" si="45">O38</f>
        <v>#DIV/0!</v>
      </c>
      <c r="C45" s="407"/>
      <c r="D45" s="637" t="s">
        <v>221</v>
      </c>
      <c r="E45" s="646"/>
      <c r="F45" s="646"/>
      <c r="G45" s="646"/>
      <c r="H45" s="646"/>
      <c r="I45" s="646"/>
      <c r="J45" s="646"/>
      <c r="K45" s="646"/>
      <c r="L45" s="647"/>
      <c r="M45" s="293"/>
      <c r="N45" s="164"/>
      <c r="O45" s="164"/>
      <c r="P45" s="164"/>
      <c r="Q45" s="164"/>
      <c r="R45" s="164"/>
      <c r="S45" s="164"/>
      <c r="T45" s="164"/>
      <c r="U45" s="164"/>
      <c r="V45" s="164"/>
      <c r="W45" s="164"/>
      <c r="X45" s="164"/>
      <c r="Y45" s="164"/>
      <c r="Z45" s="164"/>
      <c r="AA45" s="164"/>
      <c r="AB45" s="164"/>
      <c r="AC45" s="164"/>
      <c r="AD45" s="164"/>
      <c r="AE45" s="164"/>
      <c r="AF45" s="164"/>
      <c r="AG45" s="164"/>
      <c r="AH45" s="164"/>
      <c r="AI45" s="164"/>
      <c r="AJ45" s="164"/>
      <c r="AK45" s="164"/>
      <c r="AL45" s="164"/>
      <c r="AM45" s="164"/>
      <c r="AN45" s="164"/>
      <c r="AO45" s="164"/>
      <c r="AP45" s="164"/>
      <c r="AQ45" s="164"/>
    </row>
    <row r="46" spans="1:43" s="167" customFormat="1" ht="15.65" customHeight="1">
      <c r="A46" s="574" t="s">
        <v>239</v>
      </c>
      <c r="B46" s="414" t="e">
        <f t="shared" si="45"/>
        <v>#DIV/0!</v>
      </c>
      <c r="C46" s="407"/>
      <c r="D46" s="637" t="s">
        <v>221</v>
      </c>
      <c r="E46" s="646"/>
      <c r="F46" s="646"/>
      <c r="G46" s="646"/>
      <c r="H46" s="646"/>
      <c r="I46" s="646"/>
      <c r="J46" s="646"/>
      <c r="K46" s="646"/>
      <c r="L46" s="647"/>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4"/>
      <c r="AJ46" s="164"/>
      <c r="AK46" s="164"/>
      <c r="AL46" s="164"/>
      <c r="AM46" s="164"/>
      <c r="AN46" s="388">
        <f>SUM('Template A - Products'!N:N)-AQ34</f>
        <v>0</v>
      </c>
      <c r="AO46" s="233" t="s">
        <v>243</v>
      </c>
      <c r="AP46" s="164"/>
      <c r="AQ46" s="164"/>
    </row>
    <row r="47" spans="1:43" ht="13">
      <c r="A47" s="574" t="s">
        <v>240</v>
      </c>
      <c r="B47" s="414" t="e">
        <f t="shared" si="45"/>
        <v>#DIV/0!</v>
      </c>
      <c r="C47" s="407"/>
      <c r="D47" s="637" t="s">
        <v>221</v>
      </c>
      <c r="E47" s="646"/>
      <c r="F47" s="646"/>
      <c r="G47" s="646"/>
      <c r="H47" s="646"/>
      <c r="I47" s="646"/>
      <c r="J47" s="646"/>
      <c r="K47" s="646"/>
      <c r="L47" s="647"/>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389">
        <f>SUM('Template A - Products'!$R:$R)-Q53*$Q$51/12</f>
        <v>0</v>
      </c>
      <c r="AO47" s="233" t="s">
        <v>245</v>
      </c>
      <c r="AP47" s="150"/>
      <c r="AQ47" s="150"/>
    </row>
    <row r="48" spans="1:43" s="167" customFormat="1" ht="15.65" customHeight="1">
      <c r="A48" s="574" t="s">
        <v>240</v>
      </c>
      <c r="B48" s="414" t="e">
        <f t="shared" si="45"/>
        <v>#DIV/0!</v>
      </c>
      <c r="C48" s="407"/>
      <c r="D48" s="637" t="s">
        <v>221</v>
      </c>
      <c r="E48" s="646"/>
      <c r="F48" s="646"/>
      <c r="G48" s="646"/>
      <c r="H48" s="646"/>
      <c r="I48" s="646"/>
      <c r="J48" s="646"/>
      <c r="K48" s="646"/>
      <c r="L48" s="647"/>
      <c r="M48" s="150"/>
      <c r="N48" s="387" t="s">
        <v>247</v>
      </c>
      <c r="O48" s="332"/>
      <c r="P48" s="332"/>
      <c r="Q48" s="332"/>
      <c r="R48" s="332"/>
      <c r="S48" s="332"/>
      <c r="T48" s="332"/>
      <c r="U48" s="332"/>
      <c r="V48" s="332"/>
      <c r="W48" s="332"/>
      <c r="X48" s="332"/>
      <c r="Y48" s="150"/>
      <c r="Z48" s="164"/>
      <c r="AA48" s="164"/>
      <c r="AB48" s="164"/>
      <c r="AC48" s="164"/>
      <c r="AD48" s="164"/>
      <c r="AE48" s="164"/>
      <c r="AF48" s="164"/>
      <c r="AG48" s="164"/>
      <c r="AH48" s="164"/>
      <c r="AI48" s="164"/>
      <c r="AJ48" s="164"/>
      <c r="AK48" s="164"/>
      <c r="AL48" s="164"/>
      <c r="AM48" s="164"/>
      <c r="AN48" s="360" t="e">
        <f>(F8*AN16+F13*(1-AN16))-B33-B40</f>
        <v>#DIV/0!</v>
      </c>
      <c r="AO48" s="233" t="s">
        <v>418</v>
      </c>
      <c r="AP48" s="164"/>
      <c r="AQ48" s="164"/>
    </row>
    <row r="49" spans="1:43" s="167" customFormat="1" ht="15.65" customHeight="1">
      <c r="A49" s="574" t="s">
        <v>240</v>
      </c>
      <c r="B49" s="414" t="e">
        <f t="shared" si="45"/>
        <v>#DIV/0!</v>
      </c>
      <c r="C49" s="407"/>
      <c r="D49" s="637" t="s">
        <v>221</v>
      </c>
      <c r="E49" s="646"/>
      <c r="F49" s="646"/>
      <c r="G49" s="646"/>
      <c r="H49" s="646"/>
      <c r="I49" s="646"/>
      <c r="J49" s="646"/>
      <c r="K49" s="646"/>
      <c r="L49" s="647"/>
      <c r="M49" s="150"/>
      <c r="N49" s="644" t="s">
        <v>249</v>
      </c>
      <c r="O49" s="306" t="s">
        <v>11</v>
      </c>
      <c r="P49" s="306" t="s">
        <v>17</v>
      </c>
      <c r="Q49" s="306" t="s">
        <v>210</v>
      </c>
      <c r="R49" s="234" t="s">
        <v>169</v>
      </c>
      <c r="S49" s="235"/>
      <c r="T49" s="235"/>
      <c r="U49" s="235"/>
      <c r="V49" s="235"/>
      <c r="W49" s="235"/>
      <c r="X49" s="235"/>
      <c r="Y49" s="235"/>
      <c r="Z49" s="235"/>
      <c r="AA49" s="235"/>
      <c r="AB49" s="235"/>
      <c r="AC49" s="235"/>
      <c r="AD49" s="235"/>
      <c r="AE49" s="235"/>
      <c r="AF49" s="235"/>
      <c r="AG49" s="235"/>
      <c r="AH49" s="235"/>
      <c r="AI49" s="235"/>
      <c r="AJ49" s="235"/>
      <c r="AK49" s="235"/>
      <c r="AL49" s="236"/>
      <c r="AM49" s="164"/>
      <c r="AN49" s="164"/>
      <c r="AO49" s="164"/>
      <c r="AP49" s="164"/>
      <c r="AQ49" s="164"/>
    </row>
    <row r="50" spans="1:43" s="167" customFormat="1" ht="15.65" customHeight="1">
      <c r="A50" s="406" t="s">
        <v>244</v>
      </c>
      <c r="B50" s="415" t="e">
        <f>SUM(B29,B33,B40:B49)</f>
        <v>#DIV/0!</v>
      </c>
      <c r="C50" s="150"/>
      <c r="D50" s="150"/>
      <c r="E50" s="150"/>
      <c r="F50" s="150"/>
      <c r="G50" s="150"/>
      <c r="H50" s="150"/>
      <c r="I50" s="233"/>
      <c r="J50" s="150"/>
      <c r="K50" s="164"/>
      <c r="L50" s="418"/>
      <c r="M50" s="150"/>
      <c r="N50" s="645"/>
      <c r="O50" s="307" t="s">
        <v>209</v>
      </c>
      <c r="P50" s="307" t="s">
        <v>209</v>
      </c>
      <c r="Q50" s="308"/>
      <c r="R50" s="240" t="s">
        <v>251</v>
      </c>
      <c r="S50" s="237"/>
      <c r="T50" s="237"/>
      <c r="U50" s="237"/>
      <c r="V50" s="237"/>
      <c r="W50" s="237"/>
      <c r="X50" s="237"/>
      <c r="Y50" s="237"/>
      <c r="Z50" s="237"/>
      <c r="AA50" s="237"/>
      <c r="AB50" s="237"/>
      <c r="AC50" s="237"/>
      <c r="AD50" s="237"/>
      <c r="AE50" s="237"/>
      <c r="AF50" s="237"/>
      <c r="AG50" s="237"/>
      <c r="AH50" s="237"/>
      <c r="AI50" s="237"/>
      <c r="AJ50" s="237"/>
      <c r="AK50" s="237"/>
      <c r="AL50" s="238"/>
      <c r="AM50" s="164"/>
      <c r="AN50" s="164"/>
      <c r="AO50" s="164"/>
      <c r="AP50" s="164"/>
      <c r="AQ50" s="164"/>
    </row>
    <row r="51" spans="1:43" s="167" customFormat="1" ht="15.65" customHeight="1">
      <c r="A51" s="411" t="s">
        <v>246</v>
      </c>
      <c r="B51" s="571" t="e">
        <f>'Template C - Snapshot'!$E$6-'Template C - Snapshot'!$E$3</f>
        <v>#VALUE!</v>
      </c>
      <c r="C51" s="164"/>
      <c r="D51" s="164"/>
      <c r="E51" s="164"/>
      <c r="F51" s="164"/>
      <c r="G51" s="164"/>
      <c r="H51" s="164"/>
      <c r="I51" s="164"/>
      <c r="J51" s="164"/>
      <c r="K51" s="164"/>
      <c r="L51" s="417"/>
      <c r="M51" s="150"/>
      <c r="N51" s="273" t="str">
        <f>"Number of policies at 30 September " &amp; prem_round_prev</f>
        <v>Number of policies at 30 September 2025</v>
      </c>
      <c r="O51" s="314">
        <f>AO34</f>
        <v>0</v>
      </c>
      <c r="P51" s="314">
        <f>AP34</f>
        <v>0</v>
      </c>
      <c r="Q51" s="315">
        <f>AQ34</f>
        <v>0</v>
      </c>
      <c r="R51" s="282" t="s">
        <v>255</v>
      </c>
      <c r="S51" s="283"/>
      <c r="T51" s="283"/>
      <c r="U51" s="283"/>
      <c r="V51" s="283"/>
      <c r="W51" s="283"/>
      <c r="X51" s="283"/>
      <c r="Y51" s="283"/>
      <c r="Z51" s="283"/>
      <c r="AA51" s="283"/>
      <c r="AB51" s="283"/>
      <c r="AC51" s="283"/>
      <c r="AD51" s="283"/>
      <c r="AE51" s="283"/>
      <c r="AF51" s="283"/>
      <c r="AG51" s="283"/>
      <c r="AH51" s="283"/>
      <c r="AI51" s="283"/>
      <c r="AJ51" s="283"/>
      <c r="AK51" s="283"/>
      <c r="AL51" s="284"/>
      <c r="AM51" s="164"/>
      <c r="AN51" s="164"/>
      <c r="AO51" s="164"/>
      <c r="AP51" s="164"/>
      <c r="AQ51" s="164"/>
    </row>
    <row r="52" spans="1:43" s="167" customFormat="1" ht="15.65" customHeight="1">
      <c r="A52" s="411" t="s">
        <v>248</v>
      </c>
      <c r="B52" s="571" t="e">
        <f>'Template C - Snapshot'!$E$8-'Template C - Snapshot'!$E$6</f>
        <v>#VALUE!</v>
      </c>
      <c r="C52" s="164"/>
      <c r="D52" s="233"/>
      <c r="E52" s="164"/>
      <c r="F52" s="164"/>
      <c r="G52" s="164"/>
      <c r="H52" s="164"/>
      <c r="I52" s="164"/>
      <c r="J52" s="164"/>
      <c r="K52" s="164"/>
      <c r="L52" s="417"/>
      <c r="M52" s="150"/>
      <c r="N52" s="278" t="str">
        <f>"Annualised premium revenue: Premium year commencing April " &amp;prem_round_prev &amp; " - this premium application ($'m)"</f>
        <v>Annualised premium revenue: Premium year commencing April 2025 - this premium application ($'m)</v>
      </c>
      <c r="O52" s="383">
        <f>AO27</f>
        <v>0</v>
      </c>
      <c r="P52" s="383" t="e">
        <f>AP27</f>
        <v>#DIV/0!</v>
      </c>
      <c r="Q52" s="384">
        <f>AQ27</f>
        <v>0</v>
      </c>
      <c r="R52" s="282" t="s">
        <v>257</v>
      </c>
      <c r="S52" s="283"/>
      <c r="T52" s="283"/>
      <c r="U52" s="283"/>
      <c r="V52" s="283"/>
      <c r="W52" s="283"/>
      <c r="X52" s="283"/>
      <c r="Y52" s="283"/>
      <c r="Z52" s="283"/>
      <c r="AA52" s="283"/>
      <c r="AB52" s="283"/>
      <c r="AC52" s="283"/>
      <c r="AD52" s="283"/>
      <c r="AE52" s="283"/>
      <c r="AF52" s="283"/>
      <c r="AG52" s="283"/>
      <c r="AH52" s="283"/>
      <c r="AI52" s="283"/>
      <c r="AJ52" s="283"/>
      <c r="AK52" s="283"/>
      <c r="AL52" s="284"/>
      <c r="AM52" s="164"/>
      <c r="AN52" s="164"/>
      <c r="AO52" s="164"/>
      <c r="AP52" s="164"/>
      <c r="AQ52" s="164"/>
    </row>
    <row r="53" spans="1:43" s="167" customFormat="1" ht="15.65" customHeight="1">
      <c r="A53" s="411" t="s">
        <v>250</v>
      </c>
      <c r="B53" s="571" t="e">
        <f>'Template C - Snapshot'!$E$10-'Template C - Snapshot'!$E$8</f>
        <v>#VALUE!</v>
      </c>
      <c r="C53" s="164"/>
      <c r="D53" s="233"/>
      <c r="E53" s="164"/>
      <c r="F53" s="164"/>
      <c r="G53" s="164"/>
      <c r="H53" s="164"/>
      <c r="I53" s="164"/>
      <c r="J53" s="164"/>
      <c r="K53" s="164"/>
      <c r="L53" s="417"/>
      <c r="M53" s="150"/>
      <c r="N53" s="278" t="str">
        <f>"Average annual premium per policy:Premium year commencing April " &amp;prem_round_prev &amp; " - this premium application"</f>
        <v>Average annual premium per policy:Premium year commencing April 2025 - this premium application</v>
      </c>
      <c r="O53" s="356">
        <f>IFERROR(O52/O51,0)</f>
        <v>0</v>
      </c>
      <c r="P53" s="356">
        <f>IFERROR(P52/P51,0)</f>
        <v>0</v>
      </c>
      <c r="Q53" s="357">
        <f>IFERROR(Q52/Q51,0)</f>
        <v>0</v>
      </c>
      <c r="R53" s="282" t="s">
        <v>259</v>
      </c>
      <c r="S53" s="283"/>
      <c r="T53" s="283"/>
      <c r="U53" s="283"/>
      <c r="V53" s="283"/>
      <c r="W53" s="283"/>
      <c r="X53" s="283"/>
      <c r="Y53" s="283"/>
      <c r="Z53" s="283"/>
      <c r="AA53" s="283"/>
      <c r="AB53" s="283"/>
      <c r="AC53" s="283"/>
      <c r="AD53" s="283"/>
      <c r="AE53" s="283"/>
      <c r="AF53" s="283"/>
      <c r="AG53" s="283"/>
      <c r="AH53" s="283"/>
      <c r="AI53" s="283"/>
      <c r="AJ53" s="283"/>
      <c r="AK53" s="283"/>
      <c r="AL53" s="284"/>
      <c r="AM53" s="164"/>
      <c r="AN53" s="164"/>
      <c r="AO53" s="164"/>
      <c r="AP53" s="164"/>
      <c r="AQ53" s="164"/>
    </row>
    <row r="54" spans="1:43" s="167" customFormat="1" ht="15.5">
      <c r="A54" s="430" t="s">
        <v>253</v>
      </c>
      <c r="B54" s="431" t="str">
        <f>'Template C - Snapshot'!E10</f>
        <v/>
      </c>
      <c r="C54" s="435" t="s">
        <v>254</v>
      </c>
      <c r="D54" s="433"/>
      <c r="E54" s="432"/>
      <c r="F54" s="432"/>
      <c r="G54" s="432"/>
      <c r="H54" s="432"/>
      <c r="I54" s="432"/>
      <c r="J54" s="432"/>
      <c r="K54" s="432"/>
      <c r="L54" s="434"/>
      <c r="M54" s="150"/>
      <c r="N54" s="313" t="s">
        <v>260</v>
      </c>
      <c r="O54" s="316"/>
      <c r="P54" s="316"/>
      <c r="Q54" s="317"/>
      <c r="R54" s="285"/>
      <c r="S54" s="274"/>
      <c r="T54" s="274"/>
      <c r="U54" s="274"/>
      <c r="V54" s="274"/>
      <c r="W54" s="274"/>
      <c r="X54" s="274"/>
      <c r="Y54" s="274"/>
      <c r="Z54" s="274"/>
      <c r="AA54" s="274"/>
      <c r="AB54" s="274"/>
      <c r="AC54" s="274"/>
      <c r="AD54" s="274"/>
      <c r="AE54" s="274"/>
      <c r="AF54" s="274"/>
      <c r="AG54" s="274"/>
      <c r="AH54" s="274"/>
      <c r="AI54" s="274"/>
      <c r="AJ54" s="274"/>
      <c r="AK54" s="274"/>
      <c r="AL54" s="276"/>
      <c r="AM54" s="164"/>
      <c r="AN54" s="164"/>
      <c r="AO54" s="164"/>
      <c r="AP54" s="164"/>
      <c r="AQ54" s="164"/>
    </row>
    <row r="55" spans="1:43" s="167" customFormat="1" ht="15.5">
      <c r="A55" s="227" t="s">
        <v>256</v>
      </c>
      <c r="B55" s="220"/>
      <c r="C55" s="150"/>
      <c r="D55" s="164"/>
      <c r="E55" s="164"/>
      <c r="F55" s="164"/>
      <c r="G55" s="150"/>
      <c r="H55" s="291"/>
      <c r="I55" s="292"/>
      <c r="J55" s="164"/>
      <c r="K55" s="164"/>
      <c r="L55" s="164"/>
      <c r="M55" s="150"/>
      <c r="N55" s="311" t="str">
        <f>"Premium year commencing April " &amp;prem_round_prev &amp; " - per last year's approved premium application"</f>
        <v>Premium year commencing April 2025 - per last year's approved premium application</v>
      </c>
      <c r="O55" s="354">
        <f>IFERROR(O56/(1+$E$8)*(1+$D$8)/(1+$C$8)*(1+$B$8),0)</f>
        <v>0</v>
      </c>
      <c r="P55" s="354">
        <f>IFERROR(P56/(1+$E$13)*(1+$D$13)/(1+$C$13)*(1+$B$13),0)</f>
        <v>0</v>
      </c>
      <c r="Q55" s="317"/>
      <c r="R55" s="286" t="s">
        <v>261</v>
      </c>
      <c r="S55" s="164"/>
      <c r="T55" s="164"/>
      <c r="U55" s="164"/>
      <c r="V55" s="164"/>
      <c r="W55" s="164"/>
      <c r="X55" s="164"/>
      <c r="Y55" s="164"/>
      <c r="Z55" s="164"/>
      <c r="AA55" s="164"/>
      <c r="AB55" s="164"/>
      <c r="AC55" s="164"/>
      <c r="AD55" s="164"/>
      <c r="AE55" s="164"/>
      <c r="AF55" s="164"/>
      <c r="AG55" s="164"/>
      <c r="AH55" s="164"/>
      <c r="AI55" s="164"/>
      <c r="AJ55" s="164"/>
      <c r="AK55" s="164"/>
      <c r="AL55" s="279"/>
      <c r="AM55" s="164"/>
      <c r="AN55" s="164"/>
      <c r="AO55" s="164"/>
      <c r="AP55" s="164"/>
      <c r="AQ55" s="164"/>
    </row>
    <row r="56" spans="1:43" s="167" customFormat="1" ht="15.5">
      <c r="A56" s="227" t="s">
        <v>258</v>
      </c>
      <c r="B56" s="220"/>
      <c r="C56" s="150"/>
      <c r="D56" s="164"/>
      <c r="E56" s="164"/>
      <c r="F56" s="164"/>
      <c r="G56" s="150"/>
      <c r="H56" s="164"/>
      <c r="I56" s="164"/>
      <c r="J56" s="164"/>
      <c r="K56" s="164"/>
      <c r="L56" s="164"/>
      <c r="M56" s="150"/>
      <c r="N56" s="311" t="str">
        <f>"Premium year commencing April " &amp;prem_round_prev &amp; " - this premium application"</f>
        <v>Premium year commencing April 2025 - this premium application</v>
      </c>
      <c r="O56" s="352">
        <f>IFERROR(O53*(1-O60),0)</f>
        <v>0</v>
      </c>
      <c r="P56" s="354">
        <f>IFERROR(P53*(1-P60),0)</f>
        <v>0</v>
      </c>
      <c r="Q56" s="317"/>
      <c r="R56" s="286" t="s">
        <v>262</v>
      </c>
      <c r="S56" s="164"/>
      <c r="T56" s="164"/>
      <c r="U56" s="164"/>
      <c r="V56" s="164"/>
      <c r="W56" s="164"/>
      <c r="X56" s="164"/>
      <c r="Y56" s="164"/>
      <c r="Z56" s="164"/>
      <c r="AA56" s="164"/>
      <c r="AB56" s="164"/>
      <c r="AC56" s="164"/>
      <c r="AD56" s="164"/>
      <c r="AE56" s="164"/>
      <c r="AF56" s="164"/>
      <c r="AG56" s="164"/>
      <c r="AH56" s="164"/>
      <c r="AI56" s="164"/>
      <c r="AJ56" s="164"/>
      <c r="AK56" s="164"/>
      <c r="AL56" s="279"/>
      <c r="AM56" s="164"/>
      <c r="AN56" s="164"/>
      <c r="AO56" s="164"/>
      <c r="AP56" s="164"/>
      <c r="AQ56" s="164"/>
    </row>
    <row r="57" spans="1:43" s="167" customFormat="1" ht="15.5">
      <c r="A57" s="558" t="s">
        <v>406</v>
      </c>
      <c r="B57" s="220"/>
      <c r="C57" s="150"/>
      <c r="D57" s="164"/>
      <c r="E57" s="164"/>
      <c r="F57" s="164"/>
      <c r="G57" s="150"/>
      <c r="H57" s="164"/>
      <c r="I57" s="164"/>
      <c r="J57" s="164"/>
      <c r="K57" s="164"/>
      <c r="L57" s="164"/>
      <c r="M57" s="150"/>
      <c r="N57" s="312" t="str">
        <f>"Premium year commencing April " &amp;prem_round_prev+1 &amp; " - this premium application"</f>
        <v>Premium year commencing April 2026 - this premium application</v>
      </c>
      <c r="O57" s="353">
        <f>IFERROR(O56*(1+$F$8),0)</f>
        <v>0</v>
      </c>
      <c r="P57" s="355">
        <f>IFERROR(P56*(1+$F$13),0)</f>
        <v>0</v>
      </c>
      <c r="Q57" s="319"/>
      <c r="R57" s="287" t="s">
        <v>263</v>
      </c>
      <c r="S57" s="277"/>
      <c r="T57" s="277"/>
      <c r="U57" s="277"/>
      <c r="V57" s="277"/>
      <c r="W57" s="277"/>
      <c r="X57" s="277"/>
      <c r="Y57" s="277"/>
      <c r="Z57" s="277"/>
      <c r="AA57" s="277"/>
      <c r="AB57" s="277"/>
      <c r="AC57" s="277"/>
      <c r="AD57" s="277"/>
      <c r="AE57" s="277"/>
      <c r="AF57" s="277"/>
      <c r="AG57" s="277"/>
      <c r="AH57" s="277"/>
      <c r="AI57" s="277"/>
      <c r="AJ57" s="277"/>
      <c r="AK57" s="277"/>
      <c r="AL57" s="280"/>
      <c r="AM57" s="164"/>
      <c r="AN57" s="164"/>
      <c r="AO57" s="164"/>
      <c r="AP57" s="164"/>
      <c r="AQ57" s="164"/>
    </row>
    <row r="58" spans="1:43" s="167" customFormat="1" ht="15.65" customHeight="1">
      <c r="A58" s="552" t="s">
        <v>404</v>
      </c>
      <c r="B58" s="150"/>
      <c r="C58" s="150"/>
      <c r="D58" s="150"/>
      <c r="E58" s="150"/>
      <c r="F58" s="150"/>
      <c r="G58" s="150"/>
      <c r="H58" s="150"/>
      <c r="I58" s="150"/>
      <c r="J58" s="150"/>
      <c r="K58" s="150"/>
      <c r="L58" s="150"/>
      <c r="M58" s="150"/>
      <c r="N58" s="275" t="s">
        <v>264</v>
      </c>
      <c r="O58" s="274"/>
      <c r="P58" s="274"/>
      <c r="Q58" s="321"/>
      <c r="R58" s="285"/>
      <c r="S58" s="274"/>
      <c r="T58" s="274"/>
      <c r="U58" s="274"/>
      <c r="V58" s="274"/>
      <c r="W58" s="274"/>
      <c r="X58" s="274"/>
      <c r="Y58" s="274"/>
      <c r="Z58" s="274"/>
      <c r="AA58" s="274"/>
      <c r="AB58" s="274"/>
      <c r="AC58" s="274"/>
      <c r="AD58" s="274"/>
      <c r="AE58" s="274"/>
      <c r="AF58" s="274"/>
      <c r="AG58" s="274"/>
      <c r="AH58" s="274"/>
      <c r="AI58" s="274"/>
      <c r="AJ58" s="274"/>
      <c r="AK58" s="274"/>
      <c r="AL58" s="276"/>
      <c r="AM58" s="164"/>
      <c r="AN58" s="164"/>
      <c r="AO58" s="164"/>
      <c r="AP58" s="164"/>
      <c r="AQ58" s="164"/>
    </row>
    <row r="59" spans="1:43" s="167" customFormat="1" ht="15.5">
      <c r="A59" s="150"/>
      <c r="B59" s="150"/>
      <c r="C59" s="150"/>
      <c r="D59" s="150"/>
      <c r="E59" s="150"/>
      <c r="F59" s="150"/>
      <c r="G59" s="150"/>
      <c r="H59" s="150"/>
      <c r="I59" s="150"/>
      <c r="J59" s="150"/>
      <c r="K59" s="150"/>
      <c r="L59" s="150"/>
      <c r="M59" s="150"/>
      <c r="N59" s="311" t="str">
        <f>"Premium year commencing April " &amp;prem_round_prev &amp; " - per last year's approved premium application"</f>
        <v>Premium year commencing April 2025 - per last year's approved premium application</v>
      </c>
      <c r="O59" s="175">
        <f>IFERROR(1-O55/O53,0)</f>
        <v>0</v>
      </c>
      <c r="P59" s="175">
        <f>IFERROR(1-P55/P53,0)</f>
        <v>0</v>
      </c>
      <c r="Q59" s="317"/>
      <c r="R59" s="286" t="s">
        <v>265</v>
      </c>
      <c r="S59" s="164"/>
      <c r="T59" s="164"/>
      <c r="U59" s="164"/>
      <c r="V59" s="164"/>
      <c r="W59" s="164"/>
      <c r="X59" s="164"/>
      <c r="Y59" s="164"/>
      <c r="Z59" s="164"/>
      <c r="AA59" s="164"/>
      <c r="AB59" s="164"/>
      <c r="AC59" s="164"/>
      <c r="AD59" s="164"/>
      <c r="AE59" s="164"/>
      <c r="AF59" s="164"/>
      <c r="AG59" s="164"/>
      <c r="AH59" s="164"/>
      <c r="AI59" s="164"/>
      <c r="AJ59" s="164"/>
      <c r="AK59" s="164"/>
      <c r="AL59" s="279"/>
      <c r="AM59" s="164"/>
      <c r="AN59" s="164"/>
      <c r="AO59" s="164"/>
      <c r="AP59" s="164"/>
      <c r="AQ59" s="164"/>
    </row>
    <row r="60" spans="1:43" s="167" customFormat="1" ht="15.5">
      <c r="A60" s="150"/>
      <c r="B60" s="150"/>
      <c r="C60" s="150"/>
      <c r="D60" s="150"/>
      <c r="E60" s="150"/>
      <c r="F60" s="150"/>
      <c r="G60" s="150"/>
      <c r="H60" s="150"/>
      <c r="I60" s="150"/>
      <c r="J60" s="150"/>
      <c r="K60" s="150"/>
      <c r="L60" s="150"/>
      <c r="M60" s="150"/>
      <c r="N60" s="311" t="str">
        <f>"Premium year commencing April " &amp;prem_round_prev &amp; " - this premium application"</f>
        <v>Premium year commencing April 2025 - this premium application</v>
      </c>
      <c r="O60" s="569" t="e">
        <f>'Template D - Various'!$D$9</f>
        <v>#DIV/0!</v>
      </c>
      <c r="P60" s="569" t="e">
        <f>'Template D - Various'!$D$10</f>
        <v>#DIV/0!</v>
      </c>
      <c r="Q60" s="175" t="e">
        <f>1-(SUM('Template B - Financials'!N19:Y19))/SUM('Template B - Financials'!N12:Y12)</f>
        <v>#DIV/0!</v>
      </c>
      <c r="R60" s="286" t="s">
        <v>422</v>
      </c>
      <c r="S60" s="164"/>
      <c r="T60" s="164"/>
      <c r="U60" s="164"/>
      <c r="V60" s="164"/>
      <c r="W60" s="164"/>
      <c r="X60" s="164"/>
      <c r="Y60" s="164"/>
      <c r="Z60" s="164"/>
      <c r="AA60" s="164"/>
      <c r="AB60" s="164"/>
      <c r="AC60" s="164"/>
      <c r="AD60" s="164"/>
      <c r="AE60" s="164"/>
      <c r="AF60" s="164"/>
      <c r="AG60" s="164"/>
      <c r="AH60" s="164"/>
      <c r="AI60" s="164"/>
      <c r="AJ60" s="164"/>
      <c r="AK60" s="164"/>
      <c r="AL60" s="279"/>
      <c r="AM60" s="164"/>
      <c r="AN60" s="164"/>
      <c r="AO60" s="164"/>
      <c r="AP60" s="164"/>
      <c r="AQ60" s="164"/>
    </row>
    <row r="61" spans="1:43" s="167" customFormat="1" ht="15.5">
      <c r="A61" s="150"/>
      <c r="B61" s="149" t="s">
        <v>388</v>
      </c>
      <c r="C61" s="150"/>
      <c r="D61" s="150"/>
      <c r="E61" s="150"/>
      <c r="F61" s="150"/>
      <c r="G61" s="150"/>
      <c r="H61" s="150"/>
      <c r="I61" s="150"/>
      <c r="J61" s="150"/>
      <c r="K61" s="150"/>
      <c r="L61" s="150"/>
      <c r="M61" s="150"/>
      <c r="N61" s="331" t="s">
        <v>266</v>
      </c>
      <c r="O61" s="322"/>
      <c r="P61" s="322"/>
      <c r="Q61" s="301">
        <f>IFERROR(SUM('Template A - Products'!$U:$U)/SUM('Template A - Products'!$R:$R)-SUM('Template A - Products'!$AA:$AA)/SUM('Template A - Products'!$R:$R),0)</f>
        <v>0</v>
      </c>
      <c r="R61" s="288" t="s">
        <v>267</v>
      </c>
      <c r="S61" s="289"/>
      <c r="T61" s="289"/>
      <c r="U61" s="289"/>
      <c r="V61" s="289"/>
      <c r="W61" s="289"/>
      <c r="X61" s="289"/>
      <c r="Y61" s="289"/>
      <c r="Z61" s="289"/>
      <c r="AA61" s="289"/>
      <c r="AB61" s="289"/>
      <c r="AC61" s="289"/>
      <c r="AD61" s="289"/>
      <c r="AE61" s="289"/>
      <c r="AF61" s="289"/>
      <c r="AG61" s="289"/>
      <c r="AH61" s="289"/>
      <c r="AI61" s="289"/>
      <c r="AJ61" s="289"/>
      <c r="AK61" s="289"/>
      <c r="AL61" s="281"/>
      <c r="AM61" s="164"/>
      <c r="AN61" s="164"/>
      <c r="AO61" s="164"/>
      <c r="AP61" s="164"/>
      <c r="AQ61" s="164"/>
    </row>
    <row r="62" spans="1:43" s="167" customFormat="1" ht="15.5">
      <c r="A62" s="150"/>
      <c r="B62" s="360" t="e">
        <f>'Template C - Snapshot'!$E$3-SUM($B$30:$B$33,$B$40:$B$49)</f>
        <v>#VALUE!</v>
      </c>
      <c r="C62" s="150"/>
      <c r="D62" s="150"/>
      <c r="E62" s="150"/>
      <c r="F62" s="150"/>
      <c r="G62" s="150"/>
      <c r="H62" s="150"/>
      <c r="I62" s="150"/>
      <c r="J62" s="150"/>
      <c r="K62" s="150"/>
      <c r="L62" s="150"/>
      <c r="M62" s="150"/>
      <c r="N62" s="333" t="s">
        <v>268</v>
      </c>
      <c r="O62" s="316"/>
      <c r="P62" s="316"/>
      <c r="Q62" s="316"/>
      <c r="R62" s="285" t="s">
        <v>269</v>
      </c>
      <c r="S62" s="274"/>
      <c r="T62" s="274"/>
      <c r="U62" s="274"/>
      <c r="V62" s="274"/>
      <c r="W62" s="274"/>
      <c r="X62" s="274"/>
      <c r="Y62" s="274"/>
      <c r="Z62" s="274"/>
      <c r="AA62" s="274"/>
      <c r="AB62" s="274"/>
      <c r="AC62" s="274"/>
      <c r="AD62" s="274"/>
      <c r="AE62" s="274"/>
      <c r="AF62" s="274"/>
      <c r="AG62" s="274"/>
      <c r="AH62" s="274"/>
      <c r="AI62" s="274"/>
      <c r="AJ62" s="274"/>
      <c r="AK62" s="274"/>
      <c r="AL62" s="276"/>
      <c r="AM62" s="164"/>
      <c r="AN62" s="164"/>
      <c r="AO62" s="164"/>
      <c r="AP62" s="164"/>
      <c r="AQ62" s="164"/>
    </row>
    <row r="63" spans="1:43" s="167" customFormat="1" ht="15.5">
      <c r="A63" s="150"/>
      <c r="B63" s="648" t="s">
        <v>389</v>
      </c>
      <c r="C63" s="649"/>
      <c r="D63" s="649"/>
      <c r="E63" s="649"/>
      <c r="F63" s="649"/>
      <c r="G63" s="649"/>
      <c r="H63" s="649"/>
      <c r="I63" s="649"/>
      <c r="J63" s="649"/>
      <c r="K63" s="649"/>
      <c r="L63" s="649"/>
      <c r="M63" s="150"/>
      <c r="N63" s="334" t="str">
        <f>"Cumulative PY24/25 and PY25/26 - per last year's approved premium application"</f>
        <v>Cumulative PY24/25 and PY25/26 - per last year's approved premium application</v>
      </c>
      <c r="O63" s="303">
        <f>D15+B15</f>
        <v>0</v>
      </c>
      <c r="P63" s="316"/>
      <c r="Q63" s="317"/>
      <c r="R63" s="286"/>
      <c r="S63" s="164"/>
      <c r="T63" s="164"/>
      <c r="U63" s="164"/>
      <c r="V63" s="164"/>
      <c r="W63" s="164"/>
      <c r="X63" s="164"/>
      <c r="Y63" s="164"/>
      <c r="Z63" s="164"/>
      <c r="AA63" s="164"/>
      <c r="AB63" s="164"/>
      <c r="AC63" s="164"/>
      <c r="AD63" s="164"/>
      <c r="AE63" s="164"/>
      <c r="AF63" s="164"/>
      <c r="AG63" s="164"/>
      <c r="AH63" s="164"/>
      <c r="AI63" s="164"/>
      <c r="AJ63" s="164"/>
      <c r="AK63" s="164"/>
      <c r="AL63" s="279"/>
      <c r="AM63" s="164"/>
      <c r="AN63" s="164"/>
      <c r="AO63" s="164"/>
      <c r="AP63" s="164"/>
      <c r="AQ63" s="164"/>
    </row>
    <row r="64" spans="1:43" s="167" customFormat="1" ht="15.5">
      <c r="A64" s="150"/>
      <c r="B64" s="649"/>
      <c r="C64" s="649"/>
      <c r="D64" s="649"/>
      <c r="E64" s="649"/>
      <c r="F64" s="649"/>
      <c r="G64" s="649"/>
      <c r="H64" s="649"/>
      <c r="I64" s="649"/>
      <c r="J64" s="649"/>
      <c r="K64" s="649"/>
      <c r="L64" s="649"/>
      <c r="M64" s="150"/>
      <c r="N64" s="334" t="str">
        <f>"Cumulative PY24/25 and PY25/26 - this premium application"</f>
        <v>Cumulative PY24/25 and PY25/26 - this premium application</v>
      </c>
      <c r="O64" s="303">
        <f>E15+C15</f>
        <v>0</v>
      </c>
      <c r="P64" s="316"/>
      <c r="Q64" s="317"/>
      <c r="R64" s="286"/>
      <c r="S64" s="164"/>
      <c r="T64" s="164"/>
      <c r="U64" s="164"/>
      <c r="V64" s="164"/>
      <c r="W64" s="164"/>
      <c r="X64" s="164"/>
      <c r="Y64" s="164"/>
      <c r="Z64" s="164"/>
      <c r="AA64" s="164"/>
      <c r="AB64" s="164"/>
      <c r="AC64" s="164"/>
      <c r="AD64" s="164"/>
      <c r="AE64" s="164"/>
      <c r="AF64" s="164"/>
      <c r="AG64" s="164"/>
      <c r="AH64" s="164"/>
      <c r="AI64" s="164"/>
      <c r="AJ64" s="164"/>
      <c r="AK64" s="164"/>
      <c r="AL64" s="279"/>
      <c r="AM64" s="164"/>
      <c r="AN64" s="164"/>
      <c r="AO64" s="164"/>
      <c r="AP64" s="164"/>
      <c r="AQ64" s="164"/>
    </row>
    <row r="65" spans="1:43" s="167" customFormat="1" ht="15.5">
      <c r="A65" s="150"/>
      <c r="B65" s="649"/>
      <c r="C65" s="649"/>
      <c r="D65" s="649"/>
      <c r="E65" s="649"/>
      <c r="F65" s="649"/>
      <c r="G65" s="649"/>
      <c r="H65" s="649"/>
      <c r="I65" s="649"/>
      <c r="J65" s="649"/>
      <c r="K65" s="649"/>
      <c r="L65" s="649"/>
      <c r="M65" s="150"/>
      <c r="N65" s="334" t="str">
        <f>"Premium year commencing April " &amp;prem_round_prev+1 &amp; " - this premium application"</f>
        <v>Premium year commencing April 2026 - this premium application</v>
      </c>
      <c r="O65" s="303">
        <f>F15</f>
        <v>0</v>
      </c>
      <c r="P65" s="316"/>
      <c r="Q65" s="316"/>
      <c r="R65" s="286"/>
      <c r="S65" s="164"/>
      <c r="T65" s="164"/>
      <c r="U65" s="164"/>
      <c r="V65" s="164"/>
      <c r="W65" s="164"/>
      <c r="X65" s="164"/>
      <c r="Y65" s="164"/>
      <c r="Z65" s="164"/>
      <c r="AA65" s="164"/>
      <c r="AB65" s="164"/>
      <c r="AC65" s="164"/>
      <c r="AD65" s="164"/>
      <c r="AE65" s="164"/>
      <c r="AF65" s="164"/>
      <c r="AG65" s="164"/>
      <c r="AH65" s="164"/>
      <c r="AI65" s="164"/>
      <c r="AJ65" s="164"/>
      <c r="AK65" s="164"/>
      <c r="AL65" s="279"/>
      <c r="AM65" s="164"/>
      <c r="AN65" s="164"/>
      <c r="AO65" s="164"/>
      <c r="AP65" s="164"/>
      <c r="AQ65" s="164"/>
    </row>
    <row r="66" spans="1:43" s="167" customFormat="1" ht="15.5">
      <c r="A66" s="150"/>
      <c r="B66" s="649"/>
      <c r="C66" s="649"/>
      <c r="D66" s="649"/>
      <c r="E66" s="649"/>
      <c r="F66" s="649"/>
      <c r="G66" s="649"/>
      <c r="H66" s="649"/>
      <c r="I66" s="649"/>
      <c r="J66" s="649"/>
      <c r="K66" s="649"/>
      <c r="L66" s="649"/>
      <c r="M66" s="150"/>
      <c r="N66" s="275" t="s">
        <v>270</v>
      </c>
      <c r="O66" s="320"/>
      <c r="P66" s="320"/>
      <c r="Q66" s="320"/>
      <c r="R66" s="285"/>
      <c r="S66" s="274"/>
      <c r="T66" s="274"/>
      <c r="U66" s="274"/>
      <c r="V66" s="274"/>
      <c r="W66" s="274"/>
      <c r="X66" s="274"/>
      <c r="Y66" s="274"/>
      <c r="Z66" s="274"/>
      <c r="AA66" s="274"/>
      <c r="AB66" s="274"/>
      <c r="AC66" s="274"/>
      <c r="AD66" s="274"/>
      <c r="AE66" s="274"/>
      <c r="AF66" s="274"/>
      <c r="AG66" s="274"/>
      <c r="AH66" s="274"/>
      <c r="AI66" s="274"/>
      <c r="AJ66" s="274"/>
      <c r="AK66" s="274"/>
      <c r="AL66" s="276"/>
      <c r="AM66" s="164"/>
      <c r="AN66" s="164"/>
      <c r="AO66" s="164"/>
      <c r="AP66" s="164"/>
      <c r="AQ66" s="164"/>
    </row>
    <row r="67" spans="1:43" s="167" customFormat="1" ht="15.5">
      <c r="A67" s="150"/>
      <c r="B67" s="649"/>
      <c r="C67" s="649"/>
      <c r="D67" s="649"/>
      <c r="E67" s="649"/>
      <c r="F67" s="649"/>
      <c r="G67" s="649"/>
      <c r="H67" s="649"/>
      <c r="I67" s="649"/>
      <c r="J67" s="649"/>
      <c r="K67" s="649"/>
      <c r="L67" s="649"/>
      <c r="M67" s="150"/>
      <c r="N67" s="334" t="str">
        <f>"Premium year commencing April " &amp;prem_round_prev &amp; "- per last year's approved premium application"</f>
        <v>Premium year commencing April 2025- per last year's approved premium application</v>
      </c>
      <c r="O67" s="316"/>
      <c r="P67" s="316"/>
      <c r="Q67" s="303">
        <f>D14</f>
        <v>0</v>
      </c>
      <c r="R67" s="286" t="s">
        <v>271</v>
      </c>
      <c r="S67" s="164"/>
      <c r="T67" s="164"/>
      <c r="U67" s="164"/>
      <c r="V67" s="164"/>
      <c r="W67" s="164"/>
      <c r="X67" s="164"/>
      <c r="Y67" s="164"/>
      <c r="Z67" s="164"/>
      <c r="AA67" s="164"/>
      <c r="AB67" s="164"/>
      <c r="AC67" s="164"/>
      <c r="AD67" s="164"/>
      <c r="AE67" s="164"/>
      <c r="AF67" s="164"/>
      <c r="AG67" s="164"/>
      <c r="AH67" s="164"/>
      <c r="AI67" s="164"/>
      <c r="AJ67" s="164"/>
      <c r="AK67" s="164"/>
      <c r="AL67" s="279"/>
      <c r="AM67" s="164"/>
      <c r="AN67" s="164"/>
      <c r="AO67" s="164"/>
      <c r="AP67" s="164"/>
      <c r="AQ67" s="164"/>
    </row>
    <row r="68" spans="1:43" s="167" customFormat="1" ht="15.5">
      <c r="A68" s="150"/>
      <c r="B68" s="649"/>
      <c r="C68" s="649"/>
      <c r="D68" s="649"/>
      <c r="E68" s="649"/>
      <c r="F68" s="649"/>
      <c r="G68" s="649"/>
      <c r="H68" s="649"/>
      <c r="I68" s="649"/>
      <c r="J68" s="649"/>
      <c r="K68" s="649"/>
      <c r="L68" s="649"/>
      <c r="M68" s="150"/>
      <c r="N68" s="334" t="str">
        <f>"Premium year commencing April " &amp;prem_round_prev &amp; " - this premium application"</f>
        <v>Premium year commencing April 2025 - this premium application</v>
      </c>
      <c r="O68" s="316"/>
      <c r="P68" s="316"/>
      <c r="Q68" s="303" t="e">
        <f>E14</f>
        <v>#DIV/0!</v>
      </c>
      <c r="R68" s="286" t="s">
        <v>272</v>
      </c>
      <c r="S68" s="164"/>
      <c r="T68" s="164"/>
      <c r="U68" s="164"/>
      <c r="V68" s="164"/>
      <c r="W68" s="164"/>
      <c r="X68" s="164"/>
      <c r="Y68" s="164"/>
      <c r="Z68" s="164"/>
      <c r="AA68" s="164"/>
      <c r="AB68" s="164"/>
      <c r="AC68" s="164"/>
      <c r="AD68" s="164"/>
      <c r="AE68" s="164"/>
      <c r="AF68" s="164"/>
      <c r="AG68" s="164"/>
      <c r="AH68" s="164"/>
      <c r="AI68" s="164"/>
      <c r="AJ68" s="164"/>
      <c r="AK68" s="164"/>
      <c r="AL68" s="279"/>
      <c r="AM68" s="164"/>
      <c r="AN68" s="164"/>
      <c r="AO68" s="164"/>
      <c r="AP68" s="164"/>
      <c r="AQ68" s="164"/>
    </row>
    <row r="69" spans="1:43" s="167" customFormat="1" ht="15.5">
      <c r="A69" s="150"/>
      <c r="B69" s="649"/>
      <c r="C69" s="649"/>
      <c r="D69" s="649"/>
      <c r="E69" s="649"/>
      <c r="F69" s="649"/>
      <c r="G69" s="649"/>
      <c r="H69" s="649"/>
      <c r="I69" s="649"/>
      <c r="J69" s="649"/>
      <c r="K69" s="649"/>
      <c r="L69" s="649"/>
      <c r="M69" s="150"/>
      <c r="N69" s="335" t="str">
        <f>"Premium year commencing April " &amp;prem_round_prev+1 &amp; " - this premium application"</f>
        <v>Premium year commencing April 2026 - this premium application</v>
      </c>
      <c r="O69" s="318"/>
      <c r="P69" s="318"/>
      <c r="Q69" s="304" t="e">
        <f>F14</f>
        <v>#DIV/0!</v>
      </c>
      <c r="R69" s="287" t="s">
        <v>272</v>
      </c>
      <c r="S69" s="277"/>
      <c r="T69" s="277"/>
      <c r="U69" s="277"/>
      <c r="V69" s="277"/>
      <c r="W69" s="277"/>
      <c r="X69" s="277"/>
      <c r="Y69" s="277"/>
      <c r="Z69" s="277"/>
      <c r="AA69" s="277"/>
      <c r="AB69" s="277"/>
      <c r="AC69" s="277"/>
      <c r="AD69" s="277"/>
      <c r="AE69" s="277"/>
      <c r="AF69" s="277"/>
      <c r="AG69" s="277"/>
      <c r="AH69" s="277"/>
      <c r="AI69" s="277"/>
      <c r="AJ69" s="277"/>
      <c r="AK69" s="277"/>
      <c r="AL69" s="280"/>
      <c r="AM69" s="164"/>
      <c r="AN69" s="164"/>
      <c r="AO69" s="164"/>
      <c r="AP69" s="164"/>
      <c r="AQ69" s="164"/>
    </row>
    <row r="70" spans="1:43" s="167" customFormat="1" ht="15.5">
      <c r="A70" s="150"/>
      <c r="B70" s="649"/>
      <c r="C70" s="649"/>
      <c r="D70" s="649"/>
      <c r="E70" s="649"/>
      <c r="F70" s="649"/>
      <c r="G70" s="649"/>
      <c r="H70" s="649"/>
      <c r="I70" s="649"/>
      <c r="J70" s="649"/>
      <c r="K70" s="649"/>
      <c r="L70" s="649"/>
      <c r="M70" s="164"/>
      <c r="N70" s="164"/>
      <c r="O70" s="164"/>
      <c r="P70" s="164"/>
      <c r="Q70" s="164"/>
      <c r="R70" s="164"/>
      <c r="S70" s="164"/>
      <c r="T70" s="164"/>
      <c r="U70" s="164"/>
      <c r="V70" s="164"/>
      <c r="W70" s="164"/>
      <c r="X70" s="164"/>
      <c r="Y70" s="164"/>
      <c r="Z70" s="164"/>
      <c r="AA70" s="164"/>
      <c r="AB70" s="164"/>
      <c r="AC70" s="164"/>
      <c r="AD70" s="164"/>
      <c r="AE70" s="164"/>
      <c r="AF70" s="164"/>
      <c r="AG70" s="164"/>
      <c r="AH70" s="164"/>
      <c r="AI70" s="164"/>
      <c r="AJ70" s="164"/>
      <c r="AK70" s="164"/>
      <c r="AL70" s="164"/>
      <c r="AM70" s="164"/>
      <c r="AN70" s="164"/>
      <c r="AO70" s="164"/>
      <c r="AP70" s="164"/>
      <c r="AQ70" s="164"/>
    </row>
    <row r="71" spans="1:43" ht="15.5">
      <c r="A71" s="150"/>
      <c r="B71" s="649"/>
      <c r="C71" s="649"/>
      <c r="D71" s="649"/>
      <c r="E71" s="649"/>
      <c r="F71" s="649"/>
      <c r="G71" s="649"/>
      <c r="H71" s="649"/>
      <c r="I71" s="649"/>
      <c r="J71" s="649"/>
      <c r="K71" s="649"/>
      <c r="L71" s="649"/>
      <c r="M71" s="164"/>
      <c r="N71" s="585" t="s">
        <v>252</v>
      </c>
      <c r="O71" s="164"/>
      <c r="P71" s="164"/>
      <c r="Q71" s="164"/>
      <c r="R71" s="164"/>
      <c r="S71" s="164"/>
      <c r="T71" s="164"/>
      <c r="U71" s="164"/>
      <c r="V71" s="164"/>
      <c r="W71" s="164"/>
      <c r="X71" s="164"/>
      <c r="Y71" s="164"/>
      <c r="Z71" s="164"/>
      <c r="AA71" s="164"/>
      <c r="AB71" s="164"/>
      <c r="AC71" s="164"/>
      <c r="AD71" s="164"/>
      <c r="AE71" s="164"/>
      <c r="AF71" s="164"/>
      <c r="AG71" s="164"/>
      <c r="AH71" s="164"/>
      <c r="AI71" s="164"/>
      <c r="AJ71" s="164"/>
      <c r="AK71" s="164"/>
      <c r="AL71" s="164"/>
      <c r="AM71" s="164"/>
      <c r="AN71" s="164"/>
      <c r="AO71" s="164"/>
      <c r="AP71" s="164"/>
      <c r="AQ71" s="164"/>
    </row>
    <row r="72" spans="1:43" ht="15.5">
      <c r="A72" s="150"/>
      <c r="B72" s="649"/>
      <c r="C72" s="649"/>
      <c r="D72" s="649"/>
      <c r="E72" s="649"/>
      <c r="F72" s="649"/>
      <c r="G72" s="649"/>
      <c r="H72" s="649"/>
      <c r="I72" s="649"/>
      <c r="J72" s="649"/>
      <c r="K72" s="649"/>
      <c r="L72" s="649"/>
      <c r="M72" s="164"/>
      <c r="N72" s="150" t="s">
        <v>386</v>
      </c>
      <c r="O72" s="164"/>
      <c r="P72" s="164"/>
      <c r="Q72" s="164"/>
      <c r="R72" s="164"/>
      <c r="S72" s="164"/>
      <c r="T72" s="164"/>
      <c r="U72" s="164"/>
      <c r="V72" s="164"/>
      <c r="W72" s="164"/>
      <c r="X72" s="164"/>
      <c r="Y72" s="164"/>
      <c r="Z72" s="164"/>
      <c r="AA72" s="164"/>
      <c r="AB72" s="164"/>
      <c r="AC72" s="164"/>
      <c r="AD72" s="164"/>
      <c r="AE72" s="164"/>
      <c r="AF72" s="164"/>
      <c r="AG72" s="164"/>
      <c r="AH72" s="164"/>
      <c r="AI72" s="164"/>
      <c r="AJ72" s="164"/>
      <c r="AK72" s="164"/>
      <c r="AL72" s="164"/>
      <c r="AM72" s="164"/>
      <c r="AN72" s="164"/>
      <c r="AO72" s="164"/>
      <c r="AP72" s="164"/>
      <c r="AQ72" s="164"/>
    </row>
    <row r="73" spans="1:43" ht="15.5">
      <c r="A73" s="150"/>
      <c r="B73" s="649"/>
      <c r="C73" s="649"/>
      <c r="D73" s="649"/>
      <c r="E73" s="649"/>
      <c r="F73" s="649"/>
      <c r="G73" s="649"/>
      <c r="H73" s="649"/>
      <c r="I73" s="649"/>
      <c r="J73" s="649"/>
      <c r="K73" s="649"/>
      <c r="L73" s="649"/>
      <c r="M73" s="164"/>
      <c r="N73" s="150" t="s">
        <v>387</v>
      </c>
      <c r="O73" s="164"/>
      <c r="P73" s="164"/>
      <c r="Q73" s="164"/>
      <c r="R73" s="164"/>
      <c r="S73" s="164"/>
      <c r="T73" s="164"/>
      <c r="U73" s="164"/>
      <c r="V73" s="164"/>
      <c r="W73" s="164"/>
      <c r="X73" s="164"/>
      <c r="Y73" s="164"/>
      <c r="Z73" s="164"/>
      <c r="AA73" s="164"/>
      <c r="AB73" s="164"/>
      <c r="AC73" s="164"/>
      <c r="AD73" s="164"/>
      <c r="AE73" s="164"/>
      <c r="AF73" s="164"/>
      <c r="AG73" s="164"/>
      <c r="AH73" s="164"/>
      <c r="AI73" s="164"/>
      <c r="AJ73" s="164"/>
      <c r="AK73" s="164"/>
      <c r="AL73" s="164"/>
      <c r="AM73" s="164"/>
      <c r="AN73" s="164"/>
      <c r="AO73" s="164"/>
      <c r="AP73" s="164"/>
      <c r="AQ73" s="164"/>
    </row>
    <row r="74" spans="1:43" ht="15.5">
      <c r="A74" s="164"/>
      <c r="B74" s="164"/>
      <c r="C74" s="164"/>
      <c r="D74" s="164"/>
      <c r="E74" s="164"/>
      <c r="F74" s="164"/>
      <c r="G74" s="164"/>
      <c r="H74" s="164"/>
      <c r="I74" s="164"/>
      <c r="J74" s="164"/>
      <c r="K74" s="164"/>
      <c r="L74" s="164"/>
      <c r="M74" s="164"/>
      <c r="N74" s="150" t="s">
        <v>390</v>
      </c>
      <c r="O74" s="164"/>
      <c r="P74" s="164"/>
      <c r="Q74" s="164"/>
      <c r="R74" s="164"/>
      <c r="S74" s="164"/>
      <c r="T74" s="164"/>
      <c r="U74" s="164"/>
      <c r="V74" s="164"/>
      <c r="W74" s="164"/>
      <c r="X74" s="164"/>
      <c r="Y74" s="164"/>
      <c r="Z74" s="164"/>
      <c r="AA74" s="164"/>
      <c r="AB74" s="164"/>
      <c r="AC74" s="164"/>
      <c r="AD74" s="164"/>
      <c r="AE74" s="164"/>
      <c r="AF74" s="164"/>
      <c r="AG74" s="164"/>
      <c r="AH74" s="164"/>
      <c r="AI74" s="164"/>
      <c r="AJ74" s="164"/>
      <c r="AK74" s="164"/>
      <c r="AL74" s="164"/>
      <c r="AM74" s="164"/>
      <c r="AN74" s="164"/>
      <c r="AO74" s="164"/>
      <c r="AP74" s="164"/>
      <c r="AQ74" s="164"/>
    </row>
    <row r="75" spans="1:43" ht="15.5">
      <c r="A75" s="164"/>
      <c r="B75" s="164"/>
      <c r="C75" s="164"/>
      <c r="D75" s="164"/>
      <c r="E75" s="164"/>
      <c r="F75" s="164"/>
      <c r="G75" s="164"/>
      <c r="H75" s="164"/>
      <c r="I75" s="164"/>
      <c r="J75" s="164"/>
      <c r="K75" s="164"/>
      <c r="L75" s="164"/>
      <c r="M75" s="164"/>
      <c r="N75" s="150" t="s">
        <v>391</v>
      </c>
      <c r="O75" s="164"/>
      <c r="P75" s="164"/>
      <c r="Q75" s="164"/>
      <c r="R75" s="164"/>
      <c r="S75" s="164"/>
      <c r="T75" s="164"/>
      <c r="U75" s="164"/>
      <c r="V75" s="164"/>
      <c r="W75" s="164"/>
      <c r="X75" s="164"/>
      <c r="Y75" s="164"/>
      <c r="Z75" s="164"/>
      <c r="AA75" s="164"/>
      <c r="AB75" s="164"/>
      <c r="AC75" s="164"/>
      <c r="AD75" s="164"/>
      <c r="AE75" s="164"/>
      <c r="AF75" s="164"/>
      <c r="AG75" s="164"/>
      <c r="AH75" s="164"/>
      <c r="AI75" s="164"/>
      <c r="AJ75" s="164"/>
      <c r="AK75" s="164"/>
      <c r="AL75" s="164"/>
      <c r="AM75" s="164"/>
      <c r="AN75" s="164"/>
      <c r="AO75" s="164"/>
      <c r="AP75" s="164"/>
      <c r="AQ75" s="164"/>
    </row>
    <row r="76" spans="1:43" ht="15.5">
      <c r="A76" s="164"/>
      <c r="B76" s="164"/>
      <c r="C76" s="164"/>
      <c r="D76" s="164"/>
      <c r="E76" s="164"/>
      <c r="F76" s="164"/>
      <c r="G76" s="164"/>
      <c r="H76" s="164"/>
      <c r="I76" s="164"/>
      <c r="J76" s="164"/>
      <c r="K76" s="164"/>
      <c r="L76" s="164"/>
      <c r="M76" s="164"/>
      <c r="N76" s="164"/>
      <c r="O76" s="164"/>
      <c r="P76" s="164"/>
      <c r="Q76" s="164"/>
      <c r="R76" s="164"/>
      <c r="S76" s="164"/>
      <c r="T76" s="164"/>
      <c r="U76" s="164"/>
      <c r="V76" s="164"/>
      <c r="W76" s="164"/>
      <c r="X76" s="164"/>
      <c r="Y76" s="164"/>
      <c r="Z76" s="164"/>
      <c r="AA76" s="164"/>
      <c r="AB76" s="164"/>
      <c r="AC76" s="164"/>
      <c r="AD76" s="164"/>
      <c r="AE76" s="164"/>
      <c r="AF76" s="164"/>
      <c r="AG76" s="164"/>
      <c r="AH76" s="164"/>
      <c r="AI76" s="164"/>
      <c r="AJ76" s="164"/>
      <c r="AK76" s="164"/>
      <c r="AL76" s="164"/>
      <c r="AM76" s="164"/>
      <c r="AN76" s="164"/>
      <c r="AO76" s="164"/>
      <c r="AP76" s="164"/>
      <c r="AQ76" s="164"/>
    </row>
  </sheetData>
  <mergeCells count="25">
    <mergeCell ref="B63:L73"/>
    <mergeCell ref="D45:L45"/>
    <mergeCell ref="D46:L46"/>
    <mergeCell ref="D47:L47"/>
    <mergeCell ref="D48:L48"/>
    <mergeCell ref="D49:L49"/>
    <mergeCell ref="N49:N50"/>
    <mergeCell ref="C38:L38"/>
    <mergeCell ref="C39:L39"/>
    <mergeCell ref="C40:L40"/>
    <mergeCell ref="C41:L41"/>
    <mergeCell ref="C42:L42"/>
    <mergeCell ref="D44:L44"/>
    <mergeCell ref="C37:L37"/>
    <mergeCell ref="B2:E2"/>
    <mergeCell ref="B5:C5"/>
    <mergeCell ref="D5:E5"/>
    <mergeCell ref="O21:P21"/>
    <mergeCell ref="C30:L30"/>
    <mergeCell ref="C31:L31"/>
    <mergeCell ref="C32:L32"/>
    <mergeCell ref="C33:L33"/>
    <mergeCell ref="C34:L34"/>
    <mergeCell ref="C35:L35"/>
    <mergeCell ref="C36:L36"/>
  </mergeCells>
  <conditionalFormatting sqref="B35:B38">
    <cfRule type="expression" dxfId="7" priority="1">
      <formula>ISBLANK(F9)</formula>
    </cfRule>
  </conditionalFormatting>
  <conditionalFormatting sqref="B15:F15">
    <cfRule type="expression" dxfId="6" priority="2">
      <formula>MOD(B15*10^3,1)=0</formula>
    </cfRule>
  </conditionalFormatting>
  <dataValidations disablePrompts="1" count="1">
    <dataValidation allowBlank="1" showInputMessage="1" showErrorMessage="1" promptTitle="Do not enter insurer name" prompt="This cell is automated from Template C" sqref="B2:B3 A3" xr:uid="{05DA2915-4F84-48C3-9D7E-EF0F97C7E112}"/>
  </dataValidations>
  <pageMargins left="0.7" right="0.7" top="0.75" bottom="0.75" header="0.3" footer="0.3"/>
  <pageSetup paperSize="9" orientation="portrait" r:id="rId1"/>
  <headerFooter>
    <oddHeader>&amp;C&amp;"Calibri"&amp;12&amp;KFF0000 OFFICIAL&amp;1#_x000D_</oddHeader>
    <oddFooter>&amp;C_x000D_&amp;1#&amp;"Calibri"&amp;12&amp;KFF0000 OFFICIAL</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K39"/>
  <sheetViews>
    <sheetView showGridLines="0" workbookViewId="0"/>
  </sheetViews>
  <sheetFormatPr defaultColWidth="0" defaultRowHeight="13" zeroHeight="1"/>
  <cols>
    <col min="1" max="1" width="2.453125" style="192" customWidth="1"/>
    <col min="2" max="2" width="35" style="192" bestFit="1" customWidth="1"/>
    <col min="3" max="3" width="2.54296875" style="192" customWidth="1"/>
    <col min="4" max="4" width="14.54296875" style="192" bestFit="1" customWidth="1"/>
    <col min="5" max="5" width="2.54296875" style="192" customWidth="1"/>
    <col min="6" max="6" width="42.54296875" style="192" bestFit="1" customWidth="1"/>
    <col min="7" max="7" width="13.54296875" style="192" customWidth="1"/>
    <col min="8" max="8" width="11.453125" style="192" bestFit="1" customWidth="1"/>
    <col min="9" max="9" width="16.453125" style="192" bestFit="1" customWidth="1"/>
    <col min="10" max="10" width="2.7265625" style="151" customWidth="1"/>
    <col min="11" max="11" width="0" style="151" hidden="1" customWidth="1"/>
    <col min="12" max="16384" width="9.1796875" style="151" hidden="1"/>
  </cols>
  <sheetData>
    <row r="1" spans="1:9">
      <c r="A1" s="183"/>
      <c r="B1" s="178" t="s">
        <v>273</v>
      </c>
      <c r="C1" s="179"/>
      <c r="D1" s="178" t="s">
        <v>274</v>
      </c>
      <c r="E1" s="179"/>
      <c r="F1" s="180" t="s">
        <v>275</v>
      </c>
      <c r="G1" s="178" t="s">
        <v>276</v>
      </c>
      <c r="H1" s="178" t="s">
        <v>277</v>
      </c>
      <c r="I1" s="181" t="s">
        <v>278</v>
      </c>
    </row>
    <row r="2" spans="1:9" ht="12.75" customHeight="1">
      <c r="A2" s="183"/>
      <c r="B2" s="182" t="s">
        <v>13</v>
      </c>
      <c r="C2" s="183"/>
      <c r="D2" s="184" t="s">
        <v>11</v>
      </c>
      <c r="E2" s="183"/>
      <c r="F2" s="185" t="s">
        <v>279</v>
      </c>
      <c r="G2" s="186" t="s">
        <v>280</v>
      </c>
      <c r="H2" s="186" t="s">
        <v>281</v>
      </c>
      <c r="I2" s="187" t="s">
        <v>282</v>
      </c>
    </row>
    <row r="3" spans="1:9">
      <c r="A3" s="183"/>
      <c r="B3" s="182" t="s">
        <v>122</v>
      </c>
      <c r="C3" s="183"/>
      <c r="D3" s="184" t="s">
        <v>17</v>
      </c>
      <c r="E3" s="183"/>
      <c r="F3" s="185" t="s">
        <v>283</v>
      </c>
      <c r="G3" s="186" t="s">
        <v>284</v>
      </c>
      <c r="H3" s="186" t="s">
        <v>285</v>
      </c>
      <c r="I3" s="187" t="s">
        <v>286</v>
      </c>
    </row>
    <row r="4" spans="1:9">
      <c r="A4" s="183"/>
      <c r="B4" s="182" t="s">
        <v>125</v>
      </c>
      <c r="C4" s="183"/>
      <c r="D4" s="184" t="s">
        <v>16</v>
      </c>
      <c r="E4" s="183"/>
      <c r="F4" s="185" t="s">
        <v>287</v>
      </c>
      <c r="G4" s="186" t="s">
        <v>288</v>
      </c>
      <c r="H4" s="186" t="s">
        <v>285</v>
      </c>
      <c r="I4" s="187" t="s">
        <v>286</v>
      </c>
    </row>
    <row r="5" spans="1:9">
      <c r="A5" s="183"/>
      <c r="B5" s="182" t="s">
        <v>126</v>
      </c>
      <c r="C5" s="183"/>
      <c r="D5" s="184" t="s">
        <v>134</v>
      </c>
      <c r="E5" s="183"/>
      <c r="F5" s="185" t="s">
        <v>289</v>
      </c>
      <c r="G5" s="186" t="s">
        <v>290</v>
      </c>
      <c r="H5" s="186" t="s">
        <v>285</v>
      </c>
      <c r="I5" s="187" t="s">
        <v>286</v>
      </c>
    </row>
    <row r="6" spans="1:9">
      <c r="A6" s="183"/>
      <c r="B6" s="182" t="s">
        <v>123</v>
      </c>
      <c r="C6" s="183"/>
      <c r="D6" s="183"/>
      <c r="E6" s="183"/>
      <c r="F6" s="185" t="s">
        <v>291</v>
      </c>
      <c r="G6" s="186" t="s">
        <v>292</v>
      </c>
      <c r="H6" s="186" t="s">
        <v>285</v>
      </c>
      <c r="I6" s="187" t="s">
        <v>286</v>
      </c>
    </row>
    <row r="7" spans="1:9" ht="26">
      <c r="A7" s="183"/>
      <c r="B7" s="182" t="s">
        <v>124</v>
      </c>
      <c r="C7" s="183"/>
      <c r="D7" s="188" t="s">
        <v>293</v>
      </c>
      <c r="E7" s="183"/>
      <c r="F7" s="185" t="s">
        <v>294</v>
      </c>
      <c r="G7" s="186" t="s">
        <v>295</v>
      </c>
      <c r="H7" s="186" t="s">
        <v>281</v>
      </c>
      <c r="I7" s="187" t="s">
        <v>282</v>
      </c>
    </row>
    <row r="8" spans="1:9">
      <c r="A8" s="183"/>
      <c r="B8" s="182" t="s">
        <v>118</v>
      </c>
      <c r="C8" s="183"/>
      <c r="D8" s="189" t="s">
        <v>12</v>
      </c>
      <c r="E8" s="183"/>
      <c r="F8" s="185" t="s">
        <v>296</v>
      </c>
      <c r="G8" s="186" t="s">
        <v>297</v>
      </c>
      <c r="H8" s="186" t="s">
        <v>281</v>
      </c>
      <c r="I8" s="187" t="s">
        <v>286</v>
      </c>
    </row>
    <row r="9" spans="1:9">
      <c r="A9" s="183"/>
      <c r="B9" s="183"/>
      <c r="C9" s="183"/>
      <c r="D9" s="190" t="s">
        <v>15</v>
      </c>
      <c r="E9" s="183"/>
      <c r="F9" s="185" t="s">
        <v>298</v>
      </c>
      <c r="G9" s="186" t="s">
        <v>299</v>
      </c>
      <c r="H9" s="186" t="s">
        <v>281</v>
      </c>
      <c r="I9" s="187" t="s">
        <v>282</v>
      </c>
    </row>
    <row r="10" spans="1:9">
      <c r="A10" s="183"/>
      <c r="B10" s="183"/>
      <c r="C10" s="183"/>
      <c r="D10" s="189" t="s">
        <v>300</v>
      </c>
      <c r="E10" s="183"/>
      <c r="F10" s="185" t="s">
        <v>301</v>
      </c>
      <c r="G10" s="186" t="s">
        <v>302</v>
      </c>
      <c r="H10" s="186" t="s">
        <v>285</v>
      </c>
      <c r="I10" s="187" t="s">
        <v>282</v>
      </c>
    </row>
    <row r="11" spans="1:9">
      <c r="A11" s="183"/>
      <c r="B11" s="178" t="s">
        <v>303</v>
      </c>
      <c r="C11" s="183"/>
      <c r="D11" s="190" t="s">
        <v>304</v>
      </c>
      <c r="E11" s="183"/>
      <c r="F11" s="185" t="s">
        <v>305</v>
      </c>
      <c r="G11" s="186" t="s">
        <v>306</v>
      </c>
      <c r="H11" s="186" t="s">
        <v>281</v>
      </c>
      <c r="I11" s="187" t="s">
        <v>286</v>
      </c>
    </row>
    <row r="12" spans="1:9">
      <c r="A12" s="183"/>
      <c r="B12" s="191" t="s">
        <v>9</v>
      </c>
      <c r="C12" s="183"/>
      <c r="D12" s="189" t="s">
        <v>307</v>
      </c>
      <c r="E12" s="183"/>
      <c r="F12" s="185" t="s">
        <v>308</v>
      </c>
      <c r="G12" s="186" t="s">
        <v>309</v>
      </c>
      <c r="H12" s="186" t="s">
        <v>281</v>
      </c>
      <c r="I12" s="187" t="s">
        <v>286</v>
      </c>
    </row>
    <row r="13" spans="1:9">
      <c r="A13" s="183"/>
      <c r="B13" s="191" t="s">
        <v>109</v>
      </c>
      <c r="C13" s="183"/>
      <c r="D13" s="190" t="s">
        <v>310</v>
      </c>
      <c r="E13" s="183"/>
      <c r="F13" s="185" t="s">
        <v>311</v>
      </c>
      <c r="G13" s="186" t="s">
        <v>312</v>
      </c>
      <c r="H13" s="186" t="s">
        <v>281</v>
      </c>
      <c r="I13" s="187" t="s">
        <v>286</v>
      </c>
    </row>
    <row r="14" spans="1:9">
      <c r="A14" s="183"/>
      <c r="B14" s="191" t="s">
        <v>110</v>
      </c>
      <c r="C14" s="183"/>
      <c r="D14" s="189" t="s">
        <v>313</v>
      </c>
      <c r="E14" s="183"/>
      <c r="F14" s="185" t="s">
        <v>314</v>
      </c>
      <c r="G14" s="186" t="s">
        <v>315</v>
      </c>
      <c r="H14" s="186" t="s">
        <v>281</v>
      </c>
      <c r="I14" s="187" t="s">
        <v>286</v>
      </c>
    </row>
    <row r="15" spans="1:9">
      <c r="A15" s="183"/>
      <c r="B15" s="191" t="s">
        <v>111</v>
      </c>
      <c r="C15" s="183"/>
      <c r="D15" s="183"/>
      <c r="E15" s="183"/>
      <c r="F15" s="185" t="s">
        <v>316</v>
      </c>
      <c r="G15" s="186" t="s">
        <v>317</v>
      </c>
      <c r="H15" s="186" t="s">
        <v>281</v>
      </c>
      <c r="I15" s="187" t="s">
        <v>286</v>
      </c>
    </row>
    <row r="16" spans="1:9">
      <c r="A16" s="183"/>
      <c r="B16" s="191" t="s">
        <v>113</v>
      </c>
      <c r="C16" s="183"/>
      <c r="D16" s="178" t="s">
        <v>318</v>
      </c>
      <c r="E16" s="183"/>
      <c r="F16" s="185" t="s">
        <v>319</v>
      </c>
      <c r="G16" s="186" t="s">
        <v>320</v>
      </c>
      <c r="H16" s="186" t="s">
        <v>281</v>
      </c>
      <c r="I16" s="187" t="s">
        <v>286</v>
      </c>
    </row>
    <row r="17" spans="1:9">
      <c r="A17" s="183"/>
      <c r="B17" s="191" t="s">
        <v>114</v>
      </c>
      <c r="C17" s="183"/>
      <c r="D17" s="650" t="s">
        <v>321</v>
      </c>
      <c r="E17" s="183"/>
      <c r="F17" s="185" t="s">
        <v>322</v>
      </c>
      <c r="G17" s="186" t="s">
        <v>323</v>
      </c>
      <c r="H17" s="186" t="s">
        <v>281</v>
      </c>
      <c r="I17" s="187" t="s">
        <v>286</v>
      </c>
    </row>
    <row r="18" spans="1:9">
      <c r="A18" s="183"/>
      <c r="B18" s="191" t="s">
        <v>115</v>
      </c>
      <c r="C18" s="183"/>
      <c r="D18" s="651"/>
      <c r="E18" s="183"/>
      <c r="F18" s="185" t="s">
        <v>324</v>
      </c>
      <c r="G18" s="186" t="s">
        <v>325</v>
      </c>
      <c r="H18" s="186" t="s">
        <v>285</v>
      </c>
      <c r="I18" s="187" t="s">
        <v>286</v>
      </c>
    </row>
    <row r="19" spans="1:9">
      <c r="A19" s="183"/>
      <c r="B19" s="183"/>
      <c r="C19" s="183"/>
      <c r="D19" s="651"/>
      <c r="E19" s="183"/>
      <c r="F19" s="185" t="s">
        <v>326</v>
      </c>
      <c r="G19" s="186" t="s">
        <v>327</v>
      </c>
      <c r="H19" s="186" t="s">
        <v>281</v>
      </c>
      <c r="I19" s="187" t="s">
        <v>286</v>
      </c>
    </row>
    <row r="20" spans="1:9">
      <c r="A20" s="183"/>
      <c r="B20" s="178" t="s">
        <v>328</v>
      </c>
      <c r="C20" s="183"/>
      <c r="D20" s="651"/>
      <c r="E20" s="183"/>
      <c r="F20" s="185" t="s">
        <v>329</v>
      </c>
      <c r="G20" s="186" t="s">
        <v>330</v>
      </c>
      <c r="H20" s="186" t="s">
        <v>285</v>
      </c>
      <c r="I20" s="187" t="s">
        <v>286</v>
      </c>
    </row>
    <row r="21" spans="1:9">
      <c r="A21" s="183"/>
      <c r="B21" s="177" t="s">
        <v>331</v>
      </c>
      <c r="C21" s="183"/>
      <c r="D21" s="651"/>
      <c r="E21" s="183"/>
      <c r="F21" s="185" t="s">
        <v>332</v>
      </c>
      <c r="G21" s="186" t="s">
        <v>333</v>
      </c>
      <c r="H21" s="186" t="s">
        <v>281</v>
      </c>
      <c r="I21" s="187" t="s">
        <v>282</v>
      </c>
    </row>
    <row r="22" spans="1:9">
      <c r="A22" s="183"/>
      <c r="B22" s="177" t="s">
        <v>10</v>
      </c>
      <c r="C22" s="183"/>
      <c r="D22" s="651"/>
      <c r="E22" s="183"/>
      <c r="F22" s="185" t="s">
        <v>334</v>
      </c>
      <c r="G22" s="186" t="s">
        <v>335</v>
      </c>
      <c r="H22" s="186" t="s">
        <v>285</v>
      </c>
      <c r="I22" s="187" t="s">
        <v>286</v>
      </c>
    </row>
    <row r="23" spans="1:9">
      <c r="A23" s="183"/>
      <c r="B23" s="177" t="s">
        <v>336</v>
      </c>
      <c r="C23" s="183"/>
      <c r="D23" s="183"/>
      <c r="E23" s="183"/>
      <c r="F23" s="185" t="s">
        <v>337</v>
      </c>
      <c r="G23" s="186" t="s">
        <v>338</v>
      </c>
      <c r="H23" s="186" t="s">
        <v>281</v>
      </c>
      <c r="I23" s="187" t="s">
        <v>286</v>
      </c>
    </row>
    <row r="24" spans="1:9">
      <c r="A24" s="183"/>
      <c r="B24" s="177" t="s">
        <v>339</v>
      </c>
      <c r="C24" s="183"/>
      <c r="D24" s="183"/>
      <c r="E24" s="183"/>
      <c r="F24" s="185" t="s">
        <v>340</v>
      </c>
      <c r="G24" s="186" t="s">
        <v>341</v>
      </c>
      <c r="H24" s="186" t="s">
        <v>281</v>
      </c>
      <c r="I24" s="187" t="s">
        <v>286</v>
      </c>
    </row>
    <row r="25" spans="1:9">
      <c r="A25" s="183"/>
      <c r="B25" s="177" t="s">
        <v>14</v>
      </c>
      <c r="D25" s="183"/>
      <c r="E25" s="183"/>
      <c r="F25" s="185" t="s">
        <v>342</v>
      </c>
      <c r="G25" s="186" t="s">
        <v>343</v>
      </c>
      <c r="H25" s="186" t="s">
        <v>281</v>
      </c>
      <c r="I25" s="187" t="s">
        <v>282</v>
      </c>
    </row>
    <row r="26" spans="1:9">
      <c r="A26" s="183"/>
      <c r="B26" s="183"/>
      <c r="D26" s="183"/>
      <c r="E26" s="183"/>
      <c r="F26" s="185" t="s">
        <v>344</v>
      </c>
      <c r="G26" s="186" t="s">
        <v>345</v>
      </c>
      <c r="H26" s="186" t="s">
        <v>281</v>
      </c>
      <c r="I26" s="187" t="s">
        <v>282</v>
      </c>
    </row>
    <row r="27" spans="1:9">
      <c r="A27" s="183"/>
      <c r="B27" s="193" t="s">
        <v>353</v>
      </c>
      <c r="C27" s="194"/>
      <c r="D27" s="195"/>
      <c r="E27" s="183"/>
      <c r="F27" s="185" t="s">
        <v>346</v>
      </c>
      <c r="G27" s="186" t="s">
        <v>347</v>
      </c>
      <c r="H27" s="186" t="s">
        <v>281</v>
      </c>
      <c r="I27" s="187" t="s">
        <v>286</v>
      </c>
    </row>
    <row r="28" spans="1:9">
      <c r="A28" s="183"/>
      <c r="B28" s="575" t="s">
        <v>354</v>
      </c>
      <c r="C28" s="576"/>
      <c r="D28" s="581">
        <v>2026</v>
      </c>
      <c r="E28" s="183"/>
      <c r="F28" s="185" t="s">
        <v>348</v>
      </c>
      <c r="G28" s="186" t="s">
        <v>349</v>
      </c>
      <c r="H28" s="186" t="s">
        <v>281</v>
      </c>
      <c r="I28" s="187" t="s">
        <v>282</v>
      </c>
    </row>
    <row r="29" spans="1:9">
      <c r="A29" s="183"/>
      <c r="B29" s="577" t="s">
        <v>355</v>
      </c>
      <c r="D29" s="578">
        <f>D28-1</f>
        <v>2025</v>
      </c>
      <c r="E29" s="183"/>
      <c r="F29" s="196" t="s">
        <v>350</v>
      </c>
      <c r="G29" s="197" t="s">
        <v>351</v>
      </c>
      <c r="H29" s="197" t="s">
        <v>281</v>
      </c>
      <c r="I29" s="198" t="s">
        <v>286</v>
      </c>
    </row>
    <row r="30" spans="1:9">
      <c r="B30" s="577" t="s">
        <v>356</v>
      </c>
      <c r="D30" s="578">
        <f>prem_round+1</f>
        <v>2027</v>
      </c>
      <c r="E30" s="183"/>
      <c r="F30" s="329" t="s">
        <v>90</v>
      </c>
      <c r="G30" s="329" t="s">
        <v>352</v>
      </c>
      <c r="H30" s="329" t="s">
        <v>352</v>
      </c>
      <c r="I30" s="329" t="s">
        <v>352</v>
      </c>
    </row>
    <row r="31" spans="1:9">
      <c r="B31" s="577" t="s">
        <v>357</v>
      </c>
      <c r="D31" s="582">
        <f>DATE(prem_round, 4, 30)</f>
        <v>46142</v>
      </c>
      <c r="E31" s="183"/>
    </row>
    <row r="32" spans="1:9">
      <c r="B32" s="579" t="s">
        <v>358</v>
      </c>
      <c r="C32" s="580"/>
      <c r="D32" s="583">
        <f>EOMONTH(D31, 12-1)</f>
        <v>46477</v>
      </c>
      <c r="E32" s="183"/>
    </row>
    <row r="33" spans="1:5">
      <c r="E33" s="183"/>
    </row>
    <row r="37" spans="1:5" hidden="1">
      <c r="C37" s="183"/>
      <c r="D37" s="183"/>
      <c r="E37" s="183"/>
    </row>
    <row r="38" spans="1:5" hidden="1">
      <c r="A38" s="185"/>
      <c r="B38" s="183"/>
      <c r="C38" s="183"/>
      <c r="D38" s="183"/>
      <c r="E38" s="183"/>
    </row>
    <row r="39" spans="1:5" hidden="1">
      <c r="A39" s="183"/>
      <c r="B39" s="183"/>
      <c r="C39" s="183"/>
      <c r="D39" s="183"/>
      <c r="E39" s="183"/>
    </row>
  </sheetData>
  <sortState xmlns:xlrd2="http://schemas.microsoft.com/office/spreadsheetml/2017/richdata2" ref="F4:I31">
    <sortCondition ref="F2"/>
  </sortState>
  <mergeCells count="1">
    <mergeCell ref="D17:D22"/>
  </mergeCells>
  <pageMargins left="0.70866141732283472" right="0.70866141732283472" top="0.74803149606299213" bottom="0.74803149606299213" header="0.31496062992125984" footer="0.31496062992125984"/>
  <pageSetup paperSize="8" fitToHeight="0" orientation="landscape" r:id="rId1"/>
  <headerFooter>
    <oddHeader>&amp;C&amp;"Calibri"&amp;12&amp;KFF0000 OFFICIAL&amp;1#_x000D_</oddHeader>
    <oddFooter>&amp;L&amp;Z&amp;F&amp;C_x000D_&amp;1#&amp;"Calibri"&amp;12&amp;KFF0000 OFFICIAL&amp;R&amp;T &amp;D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C17"/>
  <sheetViews>
    <sheetView workbookViewId="0"/>
  </sheetViews>
  <sheetFormatPr defaultColWidth="0" defaultRowHeight="12.5"/>
  <cols>
    <col min="1" max="1" width="46.453125" customWidth="1"/>
    <col min="2" max="2" width="35.453125" customWidth="1"/>
    <col min="3" max="3" width="19.54296875" customWidth="1"/>
    <col min="4" max="16384" width="9.1796875" hidden="1"/>
  </cols>
  <sheetData>
    <row r="1" spans="1:3" ht="33" customHeight="1" thickTop="1" thickBot="1">
      <c r="A1" s="78" t="s">
        <v>359</v>
      </c>
      <c r="B1" s="78" t="s">
        <v>360</v>
      </c>
      <c r="C1" s="79" t="s">
        <v>361</v>
      </c>
    </row>
    <row r="2" spans="1:3" ht="30.75" customHeight="1" thickTop="1">
      <c r="A2" s="32" t="s">
        <v>303</v>
      </c>
      <c r="B2" s="37" t="s">
        <v>362</v>
      </c>
      <c r="C2" s="33">
        <f>COUNTIFS('Template A - Products'!$B$1:$B$30000,"&lt;&gt;*NSW / ACT*",'Template A - Products'!$B$1:$B$30000,"&lt;&gt;*VIC*",'Template A - Products'!$B$1:$B$30000,"&lt;&gt;*QLD*",'Template A - Products'!$B$1:$B$30000,"&lt;&gt;*SA*",'Template A - Products'!$B$1:$B$30000,"&lt;&gt;*WA*",'Template A - Products'!$B$1:$B$30000,"&lt;&gt;*TAS*",'Template A - Products'!$B$1:$B$30000,"&lt;&gt;*NT*",'Template A - Products'!$B$1:$B$30000,"*?*")-1</f>
        <v>0</v>
      </c>
    </row>
    <row r="3" spans="1:3" ht="30.75" customHeight="1">
      <c r="A3" s="35" t="s">
        <v>363</v>
      </c>
      <c r="B3" s="38" t="s">
        <v>364</v>
      </c>
      <c r="C3" s="34" cm="1">
        <f t="array" ref="C3">SUM(IF(COUNTIF('Template A - Products'!$C$1:$C$30000,'Template A - Products'!$C$1:$C$30000)&gt;1,1,0))+SUM(COUNTIFS('Template A - Products'!$C$1:$C$30000,"",'Template A - Products'!$D$1:$D$30000,"*"))</f>
        <v>0</v>
      </c>
    </row>
    <row r="4" spans="1:3" ht="30.75" customHeight="1">
      <c r="A4" s="35" t="s">
        <v>365</v>
      </c>
      <c r="B4" s="38" t="s">
        <v>366</v>
      </c>
      <c r="C4" s="584">
        <f>IF(COUNTA('Template A - Products'!$D:$D)&gt;30000-2,"Warning! Number of products exceeds Att B operating range. Request update from Department.",0)</f>
        <v>0</v>
      </c>
    </row>
    <row r="5" spans="1:3" ht="30.75" customHeight="1">
      <c r="A5" s="35" t="s">
        <v>367</v>
      </c>
      <c r="B5" s="38" t="s">
        <v>368</v>
      </c>
      <c r="C5" s="34">
        <f>COUNTIFS('Template A - Products'!$E$1:$E$30000,"&lt;&gt;*Open - New Product*",'Template A - Products'!$E$1:$E$30000,"&lt;&gt;*Open - Existing*",'Template A - Products'!$E$1:$E$30000,"&lt;&gt;*Closed - Closing*",'Template A - Products'!$E$1:$E$30000,"&lt;&gt;*Closed - Existing*",'Template A - Products'!$E$1:$E$30000,"&lt;&gt;*Terminating*",'Template A - Products'!$E$1:$E$30000,"*?*")-1</f>
        <v>0</v>
      </c>
    </row>
    <row r="6" spans="1:3" ht="30.75" customHeight="1">
      <c r="A6" s="35" t="s">
        <v>274</v>
      </c>
      <c r="B6" s="38" t="s">
        <v>369</v>
      </c>
      <c r="C6" s="36">
        <f>COUNTIFS('Template A - Products'!$F$1:$F$30000,"&lt;&gt;*Hospital*",'Template A - Products'!$F$1:$F$30000,"&lt;&gt;*General*",'Template A - Products'!$F$1:$F$30000,"&lt;&gt;*Combined*",'Template A - Products'!$F$1:$F$30000,"&lt;&gt;*General - Ambulance*",'Template A - Products'!$F$1:$F$30000,"*?*")-1</f>
        <v>0</v>
      </c>
    </row>
    <row r="7" spans="1:3" ht="30.75" customHeight="1">
      <c r="A7" s="35" t="s">
        <v>370</v>
      </c>
      <c r="B7" s="38" t="s">
        <v>362</v>
      </c>
      <c r="C7" s="34">
        <f>COUNTIFS('Template A - Products'!$G$1:$G$30000,"&lt;&gt;*Gold*",'Template A - Products'!$G$1:$G$30000,"&lt;&gt;*Silver Plus*",'Template A - Products'!$G$1:$G$30000,"&lt;&gt;*Silver*",'Template A - Products'!$G$1:$G$30000,"&lt;&gt;*Bronze Plus*",'Template A - Products'!$G$1:$G$30000,"&lt;&gt;*Bronze*",'Template A - Products'!$G$1:$G$30000,"&lt;&gt;*Basic Plus*",'Template A - Products'!$G$1:$G$30000,"&lt;&gt;*Basic*",'Template A - Products'!$G$1:$G$30000,"*?*")-1</f>
        <v>0</v>
      </c>
    </row>
    <row r="8" spans="1:3" ht="30.75" customHeight="1">
      <c r="A8" s="35" t="s">
        <v>273</v>
      </c>
      <c r="B8" s="38" t="s">
        <v>371</v>
      </c>
      <c r="C8" s="34">
        <f>COUNTIFS('Template A - Products'!$H$1:$H$30000,"&lt;&gt;*ChildrenOnly*",'Template A - Products'!$H$1:$H$30000,"&lt;&gt;*Couple*",'Template A - Products'!$H$1:$H$30000,"&lt;&gt;*ExtendedFamily*",'Template A - Products'!$H$1:$H$30000,"&lt;&gt;*ExtendedSingleParentFamily*",'Template A - Products'!$H$1:$H$30000,"&lt;&gt;*Family*",'Template A - Products'!$H$1:$H$30000,"&lt;&gt;*Single*",'Template A - Products'!$H$1:$H$30000,"&lt;&gt;*SingleParentFamily*",'Template A - Products'!$H$1:$H$30000,"&lt;&gt;*3+Adults*",'Template A - Products'!$H$1:$H$30000,"*?*")-1</f>
        <v>0</v>
      </c>
    </row>
    <row r="9" spans="1:3" ht="30.75" customHeight="1">
      <c r="A9" s="35" t="s">
        <v>372</v>
      </c>
      <c r="B9" s="652" t="s">
        <v>373</v>
      </c>
      <c r="C9" s="654">
        <f>COUNTIFS('Template A - Products'!$Y$1:$Y$30000,"&lt;0")</f>
        <v>0</v>
      </c>
    </row>
    <row r="10" spans="1:3" ht="30.75" customHeight="1">
      <c r="A10" s="35" t="s">
        <v>374</v>
      </c>
      <c r="B10" s="653"/>
      <c r="C10" s="655" t="e">
        <f>COUNTIFS('Template A - Products'!#REF!,"&lt;&gt;*Yes*",'Template A - Products'!#REF!,"&lt;&gt;*No*")</f>
        <v>#REF!</v>
      </c>
    </row>
    <row r="11" spans="1:3" ht="30.75" customHeight="1">
      <c r="A11" s="35" t="s">
        <v>375</v>
      </c>
      <c r="B11" s="38" t="s">
        <v>376</v>
      </c>
      <c r="C11" s="55">
        <f>SUM('Template A - Products'!$V$1:$V$30000)</f>
        <v>0</v>
      </c>
    </row>
    <row r="12" spans="1:3" ht="21">
      <c r="A12" s="35" t="s">
        <v>377</v>
      </c>
      <c r="B12" s="38" t="s">
        <v>378</v>
      </c>
      <c r="C12" s="55">
        <f>COUNTIFS('Template A - Products'!$E$1:$E$30000,"&lt;&gt;Terminating",'Template A - Products'!$Z$1:$Z$30000,"&gt;0")</f>
        <v>0</v>
      </c>
    </row>
    <row r="13" spans="1:3" ht="31.5">
      <c r="A13" s="35" t="s">
        <v>379</v>
      </c>
      <c r="B13" s="38" t="s">
        <v>380</v>
      </c>
      <c r="C13" s="55">
        <f>COUNTIFS('Template A - Products'!$E$1:$E$30000,"Terminating",'Template A - Products'!$Z$1:$Z$30000,"")</f>
        <v>0</v>
      </c>
    </row>
    <row r="16" spans="1:3" ht="13">
      <c r="A16" s="297" t="s">
        <v>381</v>
      </c>
    </row>
    <row r="17" spans="1:1">
      <c r="A17" s="390" t="s">
        <v>382</v>
      </c>
    </row>
  </sheetData>
  <mergeCells count="2">
    <mergeCell ref="B9:B10"/>
    <mergeCell ref="C9:C10"/>
  </mergeCells>
  <conditionalFormatting sqref="C2:C3">
    <cfRule type="cellIs" dxfId="5" priority="15" operator="notEqual">
      <formula>0</formula>
    </cfRule>
    <cfRule type="cellIs" dxfId="4" priority="16" operator="equal">
      <formula>0</formula>
    </cfRule>
  </conditionalFormatting>
  <conditionalFormatting sqref="C5:C9">
    <cfRule type="cellIs" dxfId="3" priority="5" operator="notEqual">
      <formula>0</formula>
    </cfRule>
    <cfRule type="cellIs" dxfId="2" priority="6" operator="equal">
      <formula>0</formula>
    </cfRule>
  </conditionalFormatting>
  <conditionalFormatting sqref="C11:C13">
    <cfRule type="cellIs" dxfId="1" priority="1" operator="notEqual">
      <formula>0</formula>
    </cfRule>
    <cfRule type="cellIs" dxfId="0" priority="2" operator="equal">
      <formula>0</formula>
    </cfRule>
  </conditionalFormatting>
  <pageMargins left="0.70866141732283472" right="0.70866141732283472" top="0.74803149606299213" bottom="0.74803149606299213" header="0.31496062992125984" footer="0.31496062992125984"/>
  <pageSetup paperSize="8" fitToHeight="0" orientation="landscape" r:id="rId1"/>
  <headerFooter>
    <oddHeader>&amp;C&amp;"Calibri"&amp;12&amp;KFF0000 OFFICIAL&amp;1#_x000D_</oddHeader>
    <oddFooter>&amp;C_x000D_&amp;1#&amp;"Calibri"&amp;12&amp;KFF0000 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LongProperties xmlns="http://schemas.microsoft.com/office/2006/metadata/longProperties">
  <LongProp xmlns="" name="Sites"><![CDATA[2;#FUND:ACA;#3;#FUND:AUHL;#4;#FUND:BUPA;#5;#FUND:CBHS;#6;#FUND:CDH;#7;#FUND:CUA;#8;#FUND:Defence;#9;#FUND:DHF;#10;#FUND:GMHBA;#11;#FUND:GUC;#12;#FUND:HBF;#13;#FUND:HCF;#14;#FUND:HCI;#15;#FUND:HG;#16;#FUND:HIF;#17;#FUND:HP;#18;#FUND:HPL;#19;#FUND:Latrobe;#22;#FUND:Mildura;#21;#FUND:MPL;#23;#FUND:Navy;#25;#FUND:NHBA;#24;#FUND:NIB;#20;#FUND:Peoplecare;#26;#FUND:Phoenix;#27;#FUND:Police;#28;#FUND:QCH;#29;#FUND:QTUH;#30;#FUND:RBHS;#31;#FUND:RT;#32;#FUND:StLuke's;#33;#FUND:TFH;#34;#FUND:Transport;#35;#FUND:Westfund]]></LongProp>
</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5191C3F87234549984315F945E78CF4" ma:contentTypeVersion="4" ma:contentTypeDescription="Create a new document." ma:contentTypeScope="" ma:versionID="a58fd2011111e75c2a6329634eb8212c">
  <xsd:schema xmlns:xsd="http://www.w3.org/2001/XMLSchema" xmlns:xs="http://www.w3.org/2001/XMLSchema" xmlns:p="http://schemas.microsoft.com/office/2006/metadata/properties" xmlns:ns2="d1b304db-6a7e-4d75-81c0-dff8a3ff9eee" targetNamespace="http://schemas.microsoft.com/office/2006/metadata/properties" ma:root="true" ma:fieldsID="0d7f731128c3b6a0be6aea64aa0471ee" ns2:_="">
    <xsd:import namespace="d1b304db-6a7e-4d75-81c0-dff8a3ff9ee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b304db-6a7e-4d75-81c0-dff8a3ff9e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ECFEC33-CCFD-4D30-AEE8-79A4F6495B58}">
  <ds:schemaRefs>
    <ds:schemaRef ds:uri="http://schemas.microsoft.com/office/2006/documentManagement/types"/>
    <ds:schemaRef ds:uri="http://purl.org/dc/elements/1.1/"/>
    <ds:schemaRef ds:uri="http://schemas.microsoft.com/office/2006/metadata/properties"/>
    <ds:schemaRef ds:uri="d1b304db-6a7e-4d75-81c0-dff8a3ff9eee"/>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ABEF3299-36A3-43AF-A1BC-B49C8E61EF94}">
  <ds:schemaRefs>
    <ds:schemaRef ds:uri="http://schemas.microsoft.com/office/2006/metadata/longProperties"/>
    <ds:schemaRef ds:uri=""/>
  </ds:schemaRefs>
</ds:datastoreItem>
</file>

<file path=customXml/itemProps3.xml><?xml version="1.0" encoding="utf-8"?>
<ds:datastoreItem xmlns:ds="http://schemas.openxmlformats.org/officeDocument/2006/customXml" ds:itemID="{DF6C42F2-C4C2-4937-B7E9-289CDA2D70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b304db-6a7e-4d75-81c0-dff8a3ff9e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FD893A9-4394-4FF9-9FEF-1A4B4953849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23</vt:i4>
      </vt:variant>
    </vt:vector>
  </HeadingPairs>
  <TitlesOfParts>
    <vt:vector size="30" baseType="lpstr">
      <vt:lpstr>Template A - Products</vt:lpstr>
      <vt:lpstr>Template B - Financials</vt:lpstr>
      <vt:lpstr>Template C - Snapshot</vt:lpstr>
      <vt:lpstr>Template D - Various</vt:lpstr>
      <vt:lpstr>Template E - Attribution</vt:lpstr>
      <vt:lpstr>Data Entry Key</vt:lpstr>
      <vt:lpstr>Validation Checks</vt:lpstr>
      <vt:lpstr>Dependants_Status</vt:lpstr>
      <vt:lpstr>Hospital_Category</vt:lpstr>
      <vt:lpstr>Insured_Group</vt:lpstr>
      <vt:lpstr>Insurer_Name</vt:lpstr>
      <vt:lpstr>prem_round</vt:lpstr>
      <vt:lpstr>prem_round_prev</vt:lpstr>
      <vt:lpstr>prem_year</vt:lpstr>
      <vt:lpstr>prem_year_end</vt:lpstr>
      <vt:lpstr>prem_year_start</vt:lpstr>
      <vt:lpstr>'Data Entry Key'!Print_Area</vt:lpstr>
      <vt:lpstr>'Template A - Products'!Print_Area</vt:lpstr>
      <vt:lpstr>'Template B - Financials'!Print_Area</vt:lpstr>
      <vt:lpstr>'Template D - Various'!Print_Area</vt:lpstr>
      <vt:lpstr>'Validation Checks'!Print_Area</vt:lpstr>
      <vt:lpstr>'Data Entry Key'!Print_Titles</vt:lpstr>
      <vt:lpstr>'Template A - Products'!Print_Titles</vt:lpstr>
      <vt:lpstr>'Template B - Financials'!Print_Titles</vt:lpstr>
      <vt:lpstr>'Template C - Snapshot'!Print_Titles</vt:lpstr>
      <vt:lpstr>'Template D - Various'!Print_Titles</vt:lpstr>
      <vt:lpstr>'Validation Checks'!Print_Titles</vt:lpstr>
      <vt:lpstr>Product_Status</vt:lpstr>
      <vt:lpstr>RP_factor</vt:lpstr>
      <vt:lpstr>State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1B – PHI 2026 Premium Round Template</dc:title>
  <dc:subject>PHI 75/25 2026</dc:subject>
  <dc:creator>Australian Government Department of Health Disability and Ageing</dc:creator>
  <cp:keywords>Private Health Insurance; PHI; Premium round</cp:keywords>
  <dc:description/>
  <cp:revision>1</cp:revision>
  <dcterms:created xsi:type="dcterms:W3CDTF">2025-04-11T06:25:09Z</dcterms:created>
  <dcterms:modified xsi:type="dcterms:W3CDTF">2025-09-19T02:39:29Z</dcterms:modified>
  <cp:category/>
  <cp:contentStatus/>
</cp:coreProperties>
</file>